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comments3.xml" ContentType="application/vnd.openxmlformats-officedocument.spreadsheetml.comments+xml"/>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drawings/drawing5.xml" ContentType="application/vnd.openxmlformats-officedocument.drawing+xml"/>
  <Override PartName="/xl/activeX/activeX6.xml" ContentType="application/vnd.ms-office.activeX+xml"/>
  <Override PartName="/xl/activeX/activeX6.bin" ContentType="application/vnd.ms-office.activeX"/>
  <Override PartName="/xl/comments4.xml" ContentType="application/vnd.openxmlformats-officedocument.spreadsheetml.comments+xml"/>
  <Override PartName="/xl/drawings/drawing6.xml" ContentType="application/vnd.openxmlformats-officedocument.drawing+xml"/>
  <Override PartName="/xl/activeX/activeX7.xml" ContentType="application/vnd.ms-office.activeX+xml"/>
  <Override PartName="/xl/activeX/activeX7.bin" ContentType="application/vnd.ms-office.activeX"/>
  <Override PartName="/xl/comments5.xml" ContentType="application/vnd.openxmlformats-officedocument.spreadsheetml.comments+xml"/>
  <Override PartName="/xl/drawings/drawing7.xml" ContentType="application/vnd.openxmlformats-officedocument.drawing+xml"/>
  <Override PartName="/xl/activeX/activeX8.xml" ContentType="application/vnd.ms-office.activeX+xml"/>
  <Override PartName="/xl/activeX/activeX8.bin" ContentType="application/vnd.ms-office.activeX"/>
  <Override PartName="/xl/comments6.xml" ContentType="application/vnd.openxmlformats-officedocument.spreadsheetml.comments+xml"/>
  <Override PartName="/xl/drawings/drawing8.xml" ContentType="application/vnd.openxmlformats-officedocument.drawing+xml"/>
  <Override PartName="/xl/activeX/activeX9.xml" ContentType="application/vnd.ms-office.activeX+xml"/>
  <Override PartName="/xl/activeX/activeX9.bin" ContentType="application/vnd.ms-office.activeX"/>
  <Override PartName="/xl/comments7.xml" ContentType="application/vnd.openxmlformats-officedocument.spreadsheetml.comments+xml"/>
  <Override PartName="/xl/drawings/drawing9.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omments8.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activeX/activeX12.xml" ContentType="application/vnd.ms-office.activeX+xml"/>
  <Override PartName="/xl/activeX/activeX12.bin" ContentType="application/vnd.ms-office.activeX"/>
  <Override PartName="/xl/comments10.xml" ContentType="application/vnd.openxmlformats-officedocument.spreadsheetml.comments+xml"/>
  <Override PartName="/xl/drawings/drawing12.xml" ContentType="application/vnd.openxmlformats-officedocument.drawing+xml"/>
  <Override PartName="/xl/activeX/activeX13.xml" ContentType="application/vnd.ms-office.activeX+xml"/>
  <Override PartName="/xl/activeX/activeX13.bin" ContentType="application/vnd.ms-office.activeX"/>
  <Override PartName="/xl/comments11.xml" ContentType="application/vnd.openxmlformats-officedocument.spreadsheetml.comments+xml"/>
  <Override PartName="/xl/drawings/drawing13.xml" ContentType="application/vnd.openxmlformats-officedocument.drawing+xml"/>
  <Override PartName="/xl/activeX/activeX14.xml" ContentType="application/vnd.ms-office.activeX+xml"/>
  <Override PartName="/xl/activeX/activeX14.bin" ContentType="application/vnd.ms-office.activeX"/>
  <Override PartName="/xl/comments12.xml" ContentType="application/vnd.openxmlformats-officedocument.spreadsheetml.comments+xml"/>
  <Override PartName="/xl/comments13.xml" ContentType="application/vnd.openxmlformats-officedocument.spreadsheetml.comments+xml"/>
  <Override PartName="/xl/drawings/drawing14.xml" ContentType="application/vnd.openxmlformats-officedocument.drawing+xml"/>
  <Override PartName="/xl/activeX/activeX15.xml" ContentType="application/vnd.ms-office.activeX+xml"/>
  <Override PartName="/xl/activeX/activeX15.bin" ContentType="application/vnd.ms-office.activeX"/>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DieseArbeitsmappe"/>
  <mc:AlternateContent xmlns:mc="http://schemas.openxmlformats.org/markup-compatibility/2006">
    <mc:Choice Requires="x15">
      <x15ac:absPath xmlns:x15ac="http://schemas.microsoft.com/office/spreadsheetml/2010/11/ac" url="C:\Users\irichardt\Desktop\"/>
    </mc:Choice>
  </mc:AlternateContent>
  <xr:revisionPtr revIDLastSave="0" documentId="13_ncr:1_{5D3F1620-65D1-46A0-99BB-1CEF5F9A288C}" xr6:coauthVersionLast="47" xr6:coauthVersionMax="47" xr10:uidLastSave="{00000000-0000-0000-0000-000000000000}"/>
  <bookViews>
    <workbookView xWindow="28680" yWindow="-120" windowWidth="29040" windowHeight="17640" tabRatio="891" xr2:uid="{00000000-000D-0000-FFFF-FFFF00000000}"/>
  </bookViews>
  <sheets>
    <sheet name="Teil I - S.1 " sheetId="1" r:id="rId1"/>
    <sheet name="Teil I - S.2" sheetId="15" r:id="rId2"/>
    <sheet name="Teil I - S.3" sheetId="16" r:id="rId3"/>
    <sheet name="Teil I - S.4" sheetId="17" r:id="rId4"/>
    <sheet name="Teil I - S.5" sheetId="8" r:id="rId5"/>
    <sheet name="Teil I - S.6" sheetId="7" r:id="rId6"/>
    <sheet name="Teil I - S.7" sheetId="9" r:id="rId7"/>
    <sheet name="Teil I - S.8" sheetId="10" r:id="rId8"/>
    <sheet name="Teil I - S.9" sheetId="6" r:id="rId9"/>
    <sheet name="Teil II" sheetId="2" r:id="rId10"/>
    <sheet name="Teil AGW" sheetId="21" state="hidden" r:id="rId11"/>
    <sheet name="Familienheim" sheetId="29" state="hidden" r:id="rId12"/>
    <sheet name="Kennzahlen" sheetId="3" r:id="rId13"/>
    <sheet name="Handbuch" sheetId="28" r:id="rId14"/>
    <sheet name="Management Summary" sheetId="20" state="hidden" r:id="rId15"/>
    <sheet name="Kontrolle" sheetId="4" r:id="rId16"/>
    <sheet name="Bilanz-Kontrolle" sheetId="22" r:id="rId17"/>
    <sheet name="GuV-Kontrolle" sheetId="23" r:id="rId18"/>
    <sheet name="EBITDA" sheetId="24" r:id="rId19"/>
    <sheet name="Cashflow" sheetId="25" r:id="rId20"/>
    <sheet name="Erg.HBW" sheetId="26" r:id="rId21"/>
    <sheet name="VERW__" sheetId="27" r:id="rId22"/>
    <sheet name="Schnittstelle ALEA" sheetId="5" r:id="rId23"/>
  </sheets>
  <externalReferences>
    <externalReference r:id="rId24"/>
  </externalReferences>
  <definedNames>
    <definedName name="__INV01">'Teil I - S.4'!$H$20</definedName>
    <definedName name="_AA01" localSheetId="20">'Teil I - S.8'!$D$33</definedName>
    <definedName name="_AA01" localSheetId="21">'Teil I - S.8'!$D$33</definedName>
    <definedName name="_AA01">'Teil I - S.8'!$D$33</definedName>
    <definedName name="_AA02" localSheetId="20">'Teil I - S.8'!$D$36</definedName>
    <definedName name="_AA02" localSheetId="21">'Teil I - S.8'!$D$36</definedName>
    <definedName name="_AA02">'Teil I - S.8'!$D$36</definedName>
    <definedName name="_AA03" localSheetId="20">'Teil I - S.9'!$D$20</definedName>
    <definedName name="_AA03" localSheetId="21">'Teil I - S.9'!$D$20</definedName>
    <definedName name="_AA03">'Teil I - S.9'!$D$20</definedName>
    <definedName name="_AA04" localSheetId="20">'Teil I - S.9'!$D$21</definedName>
    <definedName name="_AA04" localSheetId="21">'Teil I - S.9'!$D$21</definedName>
    <definedName name="_AA04">'Teil I - S.9'!$D$21</definedName>
    <definedName name="_AA10" localSheetId="20">'Teil I - S.8'!$D$43</definedName>
    <definedName name="_AA10" localSheetId="21">'Teil I - S.8'!$D$43</definedName>
    <definedName name="_AA10">'Teil I - S.8'!$D$43</definedName>
    <definedName name="_ABDT" localSheetId="20">'Teil I - S.1 '!$B$3</definedName>
    <definedName name="_ABDT" localSheetId="21">'Teil I - S.1 '!$B$3</definedName>
    <definedName name="_ABDT">'Teil I - S.1 '!$B$3</definedName>
    <definedName name="_AE01" localSheetId="20">'Teil I - S.7'!$D$24</definedName>
    <definedName name="_AE01" localSheetId="21">'Teil I - S.7'!$D$24</definedName>
    <definedName name="_AE01">'Teil I - S.7'!$D$24</definedName>
    <definedName name="_AF10" localSheetId="20">'Teil I - S.8'!$D$67</definedName>
    <definedName name="_AF10" localSheetId="21">'Teil I - S.8'!$D$67</definedName>
    <definedName name="_AF10">'Teil I - S.8'!$D$67</definedName>
    <definedName name="_AH01" localSheetId="20">'Teil I - S.8'!$D$55</definedName>
    <definedName name="_AH01" localSheetId="21">'Teil I - S.8'!$D$55</definedName>
    <definedName name="_AH01">'Teil I - S.8'!$D$55</definedName>
    <definedName name="_AH10" localSheetId="20">'Teil I - S.8'!$D$6</definedName>
    <definedName name="_AH10" localSheetId="21">'Teil I - S.8'!$D$6</definedName>
    <definedName name="_AH10">'Teil I - S.8'!$D$6</definedName>
    <definedName name="_AI01" localSheetId="20">'Teil I - S.8'!$D$47</definedName>
    <definedName name="_AI01" localSheetId="21">'Teil I - S.8'!$D$47</definedName>
    <definedName name="_AI01">'Teil I - S.8'!$D$47</definedName>
    <definedName name="_AK08" localSheetId="20">'Teil I - S.3'!$D$16</definedName>
    <definedName name="_AK08" localSheetId="21">'Teil I - S.3'!$D$16</definedName>
    <definedName name="_AK08">'Teil I - S.3'!$D$16</definedName>
    <definedName name="_AM01" localSheetId="20">'Teil I - S.8'!$D$76</definedName>
    <definedName name="_AM01" localSheetId="21">'Teil I - S.8'!$D$76</definedName>
    <definedName name="_AM01">'Teil I - S.8'!$D$76</definedName>
    <definedName name="_ANK01" localSheetId="20">'Teil AGW'!$D$25</definedName>
    <definedName name="_ANK01" localSheetId="21">'Teil AGW'!$D$25</definedName>
    <definedName name="_ANK01">'Teil AGW'!$D$25</definedName>
    <definedName name="_ANK02" localSheetId="20">'Teil AGW'!$D$28</definedName>
    <definedName name="_ANK02" localSheetId="21">'Teil AGW'!$D$28</definedName>
    <definedName name="_ANK02">'Teil AGW'!$D$28</definedName>
    <definedName name="_AR10" localSheetId="20">'Teil I - S.4'!#REF!</definedName>
    <definedName name="_AR10" localSheetId="21">'Teil I - S.4'!#REF!</definedName>
    <definedName name="_AR10">'Teil I - S.4'!#REF!</definedName>
    <definedName name="_AS01" localSheetId="20">'Teil I - S.8'!$D$48</definedName>
    <definedName name="_AS01" localSheetId="21">'Teil I - S.8'!$D$48</definedName>
    <definedName name="_AS01">'Teil I - S.8'!$D$48</definedName>
    <definedName name="_AS02" localSheetId="20">'Teil I - S.8'!$D$53</definedName>
    <definedName name="_AS02" localSheetId="21">'Teil I - S.8'!$D$53</definedName>
    <definedName name="_AS02">'Teil I - S.8'!$D$53</definedName>
    <definedName name="_AS03" localSheetId="20">'Teil I - S.8'!$D$57</definedName>
    <definedName name="_AS03" localSheetId="21">'Teil I - S.8'!$D$57</definedName>
    <definedName name="_AS03">'Teil I - S.8'!$D$57</definedName>
    <definedName name="_AS04" localSheetId="20">'Teil I - S.8'!$D$65</definedName>
    <definedName name="_AS04" localSheetId="21">'Teil I - S.8'!$D$65</definedName>
    <definedName name="_AS04">'Teil I - S.8'!$D$65</definedName>
    <definedName name="_AS05" localSheetId="20">'Teil I - S.8'!$D$61</definedName>
    <definedName name="_AS05" localSheetId="21">'Teil I - S.8'!$D$61</definedName>
    <definedName name="_AS05">'Teil I - S.8'!$D$61</definedName>
    <definedName name="_AS10" localSheetId="20">'Teil I - S.4'!$E$30</definedName>
    <definedName name="_AS10" localSheetId="21">'Teil I - S.4'!$E$30</definedName>
    <definedName name="_AS10">'Teil I - S.4'!$E$30</definedName>
    <definedName name="_AUSD" localSheetId="20">'Teil I - S.1 '!$H$45</definedName>
    <definedName name="_AUSD" localSheetId="21">'Teil I - S.1 '!$H$45</definedName>
    <definedName name="_AUSD">'Teil I - S.1 '!$H$46</definedName>
    <definedName name="_AV08" localSheetId="20">'Teil I - S.3'!$D$22</definedName>
    <definedName name="_AV08" localSheetId="21">'Teil I - S.3'!$D$22</definedName>
    <definedName name="_AV08">'Teil I - S.3'!$D$22</definedName>
    <definedName name="_AV09" localSheetId="20">'Teil I - S.3'!$D$39</definedName>
    <definedName name="_AV09" localSheetId="21">'Teil I - S.3'!$D$39</definedName>
    <definedName name="_AV09">'Teil I - S.3'!$D$39</definedName>
    <definedName name="_AV10" localSheetId="20">'Teil I - S.3'!$D$42</definedName>
    <definedName name="_AV10" localSheetId="21">'Teil I - S.3'!$D$42</definedName>
    <definedName name="_AV10">'Teil I - S.3'!$D$42</definedName>
    <definedName name="_AV11" localSheetId="20">'Teil I - S.3'!$D$33</definedName>
    <definedName name="_AV11" localSheetId="21">'Teil I - S.3'!$D$33</definedName>
    <definedName name="_AV11">'Teil I - S.3'!$D$33</definedName>
    <definedName name="_AV12" localSheetId="20">'Teil I - S.3'!$D$36</definedName>
    <definedName name="_AV12" localSheetId="21">'Teil I - S.3'!$D$36</definedName>
    <definedName name="_AV12">'Teil I - S.3'!$D$36</definedName>
    <definedName name="_AV13" localSheetId="20">'Teil I - S.3'!$D$29</definedName>
    <definedName name="_AV13" localSheetId="21">'Teil I - S.3'!$D$29</definedName>
    <definedName name="_AV13">'Teil I - S.3'!$D$29</definedName>
    <definedName name="_AV14" localSheetId="20">'Teil I - S.3'!$D$30</definedName>
    <definedName name="_AV14" localSheetId="21">'Teil I - S.3'!$D$30</definedName>
    <definedName name="_AV14">'Teil I - S.3'!$D$30</definedName>
    <definedName name="_AV15" localSheetId="20">'Teil I - S.3'!$D$26</definedName>
    <definedName name="_AV15" localSheetId="21">'Teil I - S.3'!$D$26</definedName>
    <definedName name="_AV15">'Teil I - S.3'!$D$26</definedName>
    <definedName name="_AV16" localSheetId="20">'Teil I - S.3'!$D$27</definedName>
    <definedName name="_AV16" localSheetId="21">'Teil I - S.3'!$D$27</definedName>
    <definedName name="_AV16">'Teil I - S.3'!$D$27</definedName>
    <definedName name="_AV17" localSheetId="20">'Teil I - S.3'!$D$28</definedName>
    <definedName name="_AV17" localSheetId="21">'Teil I - S.3'!$D$28</definedName>
    <definedName name="_AV17">'Teil I - S.3'!$D$28</definedName>
    <definedName name="_BA01" localSheetId="20">'Teil II'!$D$31</definedName>
    <definedName name="_BA01" localSheetId="21">'Teil II'!$D$31</definedName>
    <definedName name="_BA01">'Teil II'!$D$31</definedName>
    <definedName name="_BA08" localSheetId="20">'Teil II'!$D$56</definedName>
    <definedName name="_BA08" localSheetId="21">'Teil II'!$D$56</definedName>
    <definedName name="_BA08">'Teil II'!$D$56</definedName>
    <definedName name="_BA09" localSheetId="20">'Teil II'!$D$55</definedName>
    <definedName name="_BA09" localSheetId="21">'Teil II'!$D$55</definedName>
    <definedName name="_BA09">'Teil II'!$D$55</definedName>
    <definedName name="_BA10" localSheetId="20">'Teil II'!$D$60</definedName>
    <definedName name="_BA10" localSheetId="21">'Teil II'!$D$60</definedName>
    <definedName name="_BA10">'Teil II'!$D$60</definedName>
    <definedName name="_BA14" localSheetId="20">'Teil II'!$D$81</definedName>
    <definedName name="_BA14" localSheetId="21">'Teil II'!$D$81</definedName>
    <definedName name="_BA14">'Teil II'!$D$81</definedName>
    <definedName name="_BA15" localSheetId="20">'Teil II'!$D$84</definedName>
    <definedName name="_BA15" localSheetId="21">'Teil II'!$D$84</definedName>
    <definedName name="_BA15">'Teil II'!$D$84</definedName>
    <definedName name="_BA20" localSheetId="20">'Teil II'!$D$86</definedName>
    <definedName name="_BA20" localSheetId="21">'Teil II'!$D$86</definedName>
    <definedName name="_BA20">'Teil II'!$D$86</definedName>
    <definedName name="_BA21" localSheetId="20">'Teil II'!$D$78</definedName>
    <definedName name="_BA21" localSheetId="21">'Teil II'!$D$78</definedName>
    <definedName name="_BA21">'Teil II'!$D$78</definedName>
    <definedName name="_BA22" localSheetId="20">'Teil II'!$D$79</definedName>
    <definedName name="_BA22" localSheetId="21">'Teil II'!$D$79</definedName>
    <definedName name="_BA22">'Teil II'!$D$79</definedName>
    <definedName name="_BA23" localSheetId="20">'Teil II'!$D$80</definedName>
    <definedName name="_BA23" localSheetId="21">'Teil II'!$D$80</definedName>
    <definedName name="_BA23">'Teil II'!$D$80</definedName>
    <definedName name="_BA24" localSheetId="20">'Teil II'!$D$85</definedName>
    <definedName name="_BA24" localSheetId="21">'Teil II'!$D$85</definedName>
    <definedName name="_BA24">'Teil II'!$D$85</definedName>
    <definedName name="_BA31" localSheetId="20">'Teil II'!$G$9</definedName>
    <definedName name="_BA31" localSheetId="21">'Teil II'!$G$9</definedName>
    <definedName name="_BA31">'Teil II'!$G$9</definedName>
    <definedName name="_BA32" localSheetId="20">'Teil II'!$G$10</definedName>
    <definedName name="_BA32" localSheetId="21">'Teil II'!$G$10</definedName>
    <definedName name="_BA32">'Teil II'!$G$10</definedName>
    <definedName name="_BA33" localSheetId="20">'Teil II'!$G$11</definedName>
    <definedName name="_BA33" localSheetId="21">'Teil II'!$G$11</definedName>
    <definedName name="_BA33">'Teil II'!$G$11</definedName>
    <definedName name="_BA34" localSheetId="20">'Teil II'!$D$28</definedName>
    <definedName name="_BA34" localSheetId="21">'Teil II'!$D$28</definedName>
    <definedName name="_BA34">'Teil II'!$D$28</definedName>
    <definedName name="_BA41">#REF!</definedName>
    <definedName name="_BA42">#REF!</definedName>
    <definedName name="_BA43">#REF!</definedName>
    <definedName name="_BA44">#REF!</definedName>
    <definedName name="_BA45">#REF!</definedName>
    <definedName name="_BAUB" localSheetId="20">'Teil I - S.1 '!$H$74</definedName>
    <definedName name="_BAUB" localSheetId="21">'Teil I - S.1 '!$H$74</definedName>
    <definedName name="_BAUB">'Teil I - S.1 '!$H$75</definedName>
    <definedName name="_BAUT" localSheetId="20">'Teil I - S.1 '!$H$68</definedName>
    <definedName name="_BAUT" localSheetId="21">'Teil I - S.1 '!$H$68</definedName>
    <definedName name="_BAUT">'Teil I - S.1 '!$H$69</definedName>
    <definedName name="_BEAU" localSheetId="20">'Teil I - S.1 '!$D$11</definedName>
    <definedName name="_BEAU" localSheetId="21">'Teil I - S.1 '!$D$11</definedName>
    <definedName name="_BEAU">'Teil I - S.1 '!$D$11</definedName>
    <definedName name="_BEAV" localSheetId="20">'Teil I - S.1 '!$D$15</definedName>
    <definedName name="_BEAV" localSheetId="21">'Teil I - S.1 '!$D$15</definedName>
    <definedName name="_BEAV">'Teil I - S.1 '!$D$15</definedName>
    <definedName name="_BILF" localSheetId="20">'Teil I - S.1 '!$H$49</definedName>
    <definedName name="_BILF" localSheetId="21">'Teil I - S.1 '!$H$49</definedName>
    <definedName name="_BILF">'Teil I - S.1 '!$H$50</definedName>
    <definedName name="_BK01" localSheetId="20">'Teil I - S.8'!$D$11</definedName>
    <definedName name="_BK01" localSheetId="21">'Teil I - S.8'!$D$11</definedName>
    <definedName name="_BK01">'Teil I - S.8'!$D$11</definedName>
    <definedName name="_BK02" localSheetId="20">'Teil II'!$D$102</definedName>
    <definedName name="_BK02" localSheetId="21">'Teil II'!$D$102</definedName>
    <definedName name="_BK02">'Teil II'!$D$102</definedName>
    <definedName name="_BS10" localSheetId="20">'Teil I - S.3'!$D$59</definedName>
    <definedName name="_BS10" localSheetId="21">'Teil I - S.3'!$D$59</definedName>
    <definedName name="_BS10">'Teil I - S.3'!$D$59</definedName>
    <definedName name="_BULA" localSheetId="20">'Teil I - S.1 '!$H$95</definedName>
    <definedName name="_BULA" localSheetId="21">'Teil I - S.1 '!$H$95</definedName>
    <definedName name="_BULA">'Teil I - S.1 '!$H$96</definedName>
    <definedName name="_BV10" localSheetId="20">'Teil I - S.7'!$D$13</definedName>
    <definedName name="_BV10" localSheetId="21">'Teil I - S.7'!$D$13</definedName>
    <definedName name="_BV10">'Teil I - S.7'!$D$13</definedName>
    <definedName name="_CF01" localSheetId="20">'Schnittstelle ALEA'!$D$232</definedName>
    <definedName name="_CF01" localSheetId="21">'Schnittstelle ALEA'!$D$232</definedName>
    <definedName name="_CF01">'Schnittstelle ALEA'!$D$232</definedName>
    <definedName name="_CF02" localSheetId="20">'Schnittstelle ALEA'!$D$233</definedName>
    <definedName name="_CF02" localSheetId="21">'Schnittstelle ALEA'!$D$233</definedName>
    <definedName name="_CF02">'Schnittstelle ALEA'!$D$233</definedName>
    <definedName name="_EA01" localSheetId="20">'Teil I - S.7'!$D$47</definedName>
    <definedName name="_EA01" localSheetId="21">'Teil I - S.7'!$D$47</definedName>
    <definedName name="_EA01">'Teil I - S.7'!$D$47</definedName>
    <definedName name="_EA10" localSheetId="20">'Teil I - S.5'!$D$25</definedName>
    <definedName name="_EA10" localSheetId="21">'Teil I - S.5'!$D$25</definedName>
    <definedName name="_EA10">'Teil I - S.5'!$D$25</definedName>
    <definedName name="_EB01" localSheetId="20">'Teil I - S.7'!$D$44</definedName>
    <definedName name="_EB01" localSheetId="21">'Teil I - S.7'!$D$44</definedName>
    <definedName name="_EB01">'Teil I - S.7'!$D$44</definedName>
    <definedName name="_EE01" localSheetId="20">'Teil I - S.2'!$D$11</definedName>
    <definedName name="_EE01" localSheetId="21">'Teil I - S.2'!$D$11</definedName>
    <definedName name="_EE01">'Teil I - S.2'!$D$11</definedName>
    <definedName name="_EE02" localSheetId="20">'Teil I - S.2'!$D$12</definedName>
    <definedName name="_EE02" localSheetId="21">'Teil I - S.2'!$D$12</definedName>
    <definedName name="_EE02">'Teil I - S.2'!$D$12</definedName>
    <definedName name="_EE03" localSheetId="20">'Teil I - S.2'!$D$13</definedName>
    <definedName name="_EE03" localSheetId="21">'Teil I - S.2'!$D$13</definedName>
    <definedName name="_EE03">'Teil I - S.2'!$D$13</definedName>
    <definedName name="_EE04" localSheetId="20">'Teil I - S.2'!$D$14</definedName>
    <definedName name="_EE04" localSheetId="21">'Teil I - S.2'!$D$14</definedName>
    <definedName name="_EE04">'Teil I - S.2'!$D$14</definedName>
    <definedName name="_EIGT" localSheetId="20">'Teil I - S.1 '!$H$28</definedName>
    <definedName name="_EIGT" localSheetId="21">'Teil I - S.1 '!$H$28</definedName>
    <definedName name="_EIGT">'Teil I - S.1 '!$H$28</definedName>
    <definedName name="_EINH" localSheetId="20">'Teil I - S.1 '!$H$35</definedName>
    <definedName name="_EINH" localSheetId="21">'Teil I - S.1 '!$H$35</definedName>
    <definedName name="_EINH">'Teil I - S.1 '!$H$36</definedName>
    <definedName name="_EK09" localSheetId="20">'Teil I - S.4'!$E$8</definedName>
    <definedName name="_EK09" localSheetId="21">'Teil I - S.4'!$E$8</definedName>
    <definedName name="_EK09">'Teil I - S.4'!$E$8</definedName>
    <definedName name="_EK10" localSheetId="20">'Teil I - S.4'!$E$9</definedName>
    <definedName name="_EK10" localSheetId="21">'Teil I - S.4'!$E$9</definedName>
    <definedName name="_EK10">'Teil I - S.4'!$E$9</definedName>
    <definedName name="_EKBI" localSheetId="20">'Teil AGW'!#REF!</definedName>
    <definedName name="_EKBI" localSheetId="21">'Teil AGW'!#REF!</definedName>
    <definedName name="_EKBI">'Teil AGW'!#REF!</definedName>
    <definedName name="_EN10" localSheetId="20">'Teil I - S.2'!$D$49</definedName>
    <definedName name="_EN10" localSheetId="21">'Teil I - S.2'!$D$49</definedName>
    <definedName name="_EN10">'Teil I - S.2'!$D$49</definedName>
    <definedName name="_EN11" localSheetId="20">'Teil I - S.2'!$D$51</definedName>
    <definedName name="_EN11" localSheetId="21">'Teil I - S.2'!$D$51</definedName>
    <definedName name="_EN11">'Teil I - S.2'!$D$51</definedName>
    <definedName name="_EN12" localSheetId="20">'Teil I - S.2'!$D$54</definedName>
    <definedName name="_EN12" localSheetId="21">'Teil I - S.2'!$D$54</definedName>
    <definedName name="_EN12">'Teil I - S.2'!$D$54</definedName>
    <definedName name="_EN13" localSheetId="20">'Teil I - S.2'!$D$56</definedName>
    <definedName name="_EN13" localSheetId="21">'Teil I - S.2'!$D$56</definedName>
    <definedName name="_EN13">'Teil I - S.2'!$D$56</definedName>
    <definedName name="_ES02" localSheetId="20">'Teil I - S.6'!$D$20</definedName>
    <definedName name="_ES02" localSheetId="21">'Teil I - S.6'!$D$20</definedName>
    <definedName name="_ES02">'Teil I - S.6'!$D$20</definedName>
    <definedName name="_ES03" localSheetId="20">'Teil I - S.6'!#REF!</definedName>
    <definedName name="_ES03" localSheetId="21">'Teil I - S.6'!#REF!</definedName>
    <definedName name="_ES03">'Teil I - S.6'!#REF!</definedName>
    <definedName name="_ES11" localSheetId="20">'Teil I - S.6'!$D$18</definedName>
    <definedName name="_ES11" localSheetId="21">'Teil I - S.6'!$D$18</definedName>
    <definedName name="_ES11">'Teil I - S.6'!$D$18</definedName>
    <definedName name="_ES12" localSheetId="20">'Teil I - S.6'!$D$19</definedName>
    <definedName name="_ES12" localSheetId="21">'Teil I - S.6'!$D$19</definedName>
    <definedName name="_ES12">'Teil I - S.6'!$D$19</definedName>
    <definedName name="_ES13" localSheetId="20">'Teil I - S.6'!#REF!</definedName>
    <definedName name="_ES13" localSheetId="21">'Teil I - S.6'!#REF!</definedName>
    <definedName name="_ES13">'Teil I - S.6'!#REF!</definedName>
    <definedName name="_ES14" localSheetId="20">'Teil I - S.6'!#REF!</definedName>
    <definedName name="_ES14" localSheetId="21">'Teil I - S.6'!#REF!</definedName>
    <definedName name="_ES14">'Teil I - S.6'!#REF!</definedName>
    <definedName name="_EVA01" localSheetId="20">'Teil AGW'!#REF!</definedName>
    <definedName name="_EVA01" localSheetId="21">'Teil AGW'!#REF!</definedName>
    <definedName name="_EVA01">'Teil AGW'!#REF!</definedName>
    <definedName name="_EVA02" localSheetId="20">'Teil AGW'!#REF!</definedName>
    <definedName name="_EVA02" localSheetId="21">'Teil AGW'!#REF!</definedName>
    <definedName name="_EVA02">'Teil AGW'!#REF!</definedName>
    <definedName name="_EVA03" localSheetId="20">'Teil AGW'!#REF!</definedName>
    <definedName name="_EVA03" localSheetId="21">'Teil AGW'!#REF!</definedName>
    <definedName name="_EVA03">'Teil AGW'!#REF!</definedName>
    <definedName name="_EVA04" localSheetId="20">'Teil AGW'!#REF!</definedName>
    <definedName name="_EVA04" localSheetId="21">'Teil AGW'!#REF!</definedName>
    <definedName name="_EVA04">'Teil AGW'!#REF!</definedName>
    <definedName name="_EVA05" localSheetId="20">'Teil AGW'!#REF!</definedName>
    <definedName name="_EVA05" localSheetId="21">'Teil AGW'!#REF!</definedName>
    <definedName name="_EVA05">'Teil AGW'!#REF!</definedName>
    <definedName name="_EVA06" localSheetId="20">'Teil AGW'!#REF!</definedName>
    <definedName name="_EVA06" localSheetId="21">'Teil AGW'!#REF!</definedName>
    <definedName name="_EVA06">'Teil AGW'!#REF!</definedName>
    <definedName name="_EVA07" localSheetId="20">'Teil AGW'!#REF!</definedName>
    <definedName name="_EVA07" localSheetId="21">'Teil AGW'!#REF!</definedName>
    <definedName name="_EVA07">'Teil AGW'!#REF!</definedName>
    <definedName name="_EVA08" localSheetId="20">'Teil AGW'!#REF!</definedName>
    <definedName name="_EVA08" localSheetId="21">'Teil AGW'!#REF!</definedName>
    <definedName name="_EVA08">'Teil AGW'!#REF!</definedName>
    <definedName name="_EW01" localSheetId="20">'Teil I - S.7'!$D$45</definedName>
    <definedName name="_EW01" localSheetId="21">'Teil I - S.7'!$D$45</definedName>
    <definedName name="_EW01">'Teil I - S.7'!$D$45</definedName>
    <definedName name="_EZ01" localSheetId="20">'Teil I - S.8'!$D$14</definedName>
    <definedName name="_EZ01" localSheetId="21">'Teil I - S.8'!$D$14</definedName>
    <definedName name="_EZ01">'Teil I - S.8'!$D$14</definedName>
    <definedName name="_EZ02" localSheetId="20">'Teil I - S.7'!$D$46</definedName>
    <definedName name="_EZ02" localSheetId="21">'Teil I - S.7'!$D$46</definedName>
    <definedName name="_EZ02">'Teil I - S.7'!$D$46</definedName>
    <definedName name="_FE10" localSheetId="20">'Teil I - S.2'!$D$60</definedName>
    <definedName name="_FE10" localSheetId="21">'Teil I - S.2'!$D$60</definedName>
    <definedName name="_FE10">'Teil I - S.2'!$D$60</definedName>
    <definedName name="_xlnm._FilterDatabase" localSheetId="0" hidden="1">'Teil I - S.1 '!$H$96:$I$96</definedName>
    <definedName name="_FK10" localSheetId="20">'Teil I - S.5'!$D$12</definedName>
    <definedName name="_FK10" localSheetId="21">'Teil I - S.5'!$D$12</definedName>
    <definedName name="_FK10">'Teil I - S.5'!$D$12</definedName>
    <definedName name="_FK10N" localSheetId="13">Handbuch!$H$62</definedName>
    <definedName name="_FK10N">Kennzahlen!$G$69</definedName>
    <definedName name="_FK50" localSheetId="20">'Teil I - S.5'!$D$26</definedName>
    <definedName name="_FK50" localSheetId="21">'Teil I - S.5'!$D$26</definedName>
    <definedName name="_FK50">'Teil I - S.5'!$D$26</definedName>
    <definedName name="_FK50N" localSheetId="13">Handbuch!$G$90</definedName>
    <definedName name="_FK50N">Kennzahlen!$F$97</definedName>
    <definedName name="_FN10" localSheetId="20">'Teil I - S.2'!#REF!</definedName>
    <definedName name="_FN10" localSheetId="21">'Teil I - S.2'!#REF!</definedName>
    <definedName name="_FN10">'Teil I - S.2'!#REF!</definedName>
    <definedName name="_GK09" localSheetId="20">'Teil I - S.5'!$D$45</definedName>
    <definedName name="_GK09" localSheetId="21">'Teil I - S.5'!$D$45</definedName>
    <definedName name="_GK09">'Teil I - S.5'!$D$45</definedName>
    <definedName name="_GK10" localSheetId="20">'Teil I - S.5'!$D$48</definedName>
    <definedName name="_GK10" localSheetId="21">'Teil I - S.5'!$D$48</definedName>
    <definedName name="_GK10">'Teil I - S.5'!$D$48</definedName>
    <definedName name="_GKBI" localSheetId="20">'Teil AGW'!#REF!</definedName>
    <definedName name="_GKBI" localSheetId="21">'Teil AGW'!#REF!</definedName>
    <definedName name="_GKBI">'Teil AGW'!#REF!</definedName>
    <definedName name="_GR10" localSheetId="20">'Teil I - S.9'!$D$31</definedName>
    <definedName name="_GR10" localSheetId="21">'Teil I - S.9'!$D$31</definedName>
    <definedName name="_GR10">'Teil I - S.9'!$D$31</definedName>
    <definedName name="_GW10" localSheetId="20">'Teil I - S.9'!$D$44</definedName>
    <definedName name="_GW10" localSheetId="21">'Teil I - S.9'!$D$44</definedName>
    <definedName name="_GW10">'Teil I - S.9'!$D$44</definedName>
    <definedName name="_GW20" localSheetId="20">'Teil I - S.9'!$D$39</definedName>
    <definedName name="_GW20" localSheetId="21">'Teil I - S.9'!$D$39</definedName>
    <definedName name="_GW20">'Teil I - S.9'!$D$39</definedName>
    <definedName name="_HA12" localSheetId="20">'Teil I - S.8'!$D$26</definedName>
    <definedName name="_HA12" localSheetId="21">'Teil I - S.8'!$D$26</definedName>
    <definedName name="_HA12">'Teil I - S.8'!$D$26</definedName>
    <definedName name="_HK01" localSheetId="20">'Teil I - S.8'!$D$12</definedName>
    <definedName name="_HK01" localSheetId="21">'Teil I - S.8'!$D$12</definedName>
    <definedName name="_HK01">'Teil I - S.8'!$D$12</definedName>
    <definedName name="_HK02" localSheetId="20">'Teil II'!$D$103</definedName>
    <definedName name="_HK02" localSheetId="21">'Teil II'!$D$103</definedName>
    <definedName name="_HK02">'Teil II'!$D$103</definedName>
    <definedName name="_HK10" localSheetId="20">'Teil I - S.4'!$E$6</definedName>
    <definedName name="_HK10" localSheetId="21">'Teil I - S.4'!$E$6</definedName>
    <definedName name="_HK10">'Teil I - S.4'!$E$6</definedName>
    <definedName name="_HK11" localSheetId="20">'Teil I - S.4'!#REF!</definedName>
    <definedName name="_HK11" localSheetId="21">'Teil I - S.4'!#REF!</definedName>
    <definedName name="_HK11">'Teil I - S.4'!#REF!</definedName>
    <definedName name="_IK01" localSheetId="20">'Teil I - S.8'!$D$13</definedName>
    <definedName name="_IK01" localSheetId="21">'Teil I - S.8'!$D$13</definedName>
    <definedName name="_IK01">'Teil I - S.8'!$D$13</definedName>
    <definedName name="_IK02" localSheetId="20">'Teil II'!$D$104</definedName>
    <definedName name="_IK02" localSheetId="21">'Teil II'!$D$104</definedName>
    <definedName name="_IK02">'Teil II'!$D$104</definedName>
    <definedName name="_IK03" localSheetId="20">'Teil I - S.8'!$D$30</definedName>
    <definedName name="_IK03" localSheetId="21">'Teil I - S.8'!$D$30</definedName>
    <definedName name="_IK03">'Teil I - S.8'!$D$30</definedName>
    <definedName name="_IK10" localSheetId="20">'Teil AGW'!$D$22</definedName>
    <definedName name="_IK10" localSheetId="21">'Teil AGW'!$D$22</definedName>
    <definedName name="_IK10">'Teil AGW'!$D$22</definedName>
    <definedName name="_INV01">'Teil I - S.4'!$H$20</definedName>
    <definedName name="_INV02">'Teil I - S.4'!$H$21</definedName>
    <definedName name="_IV10" localSheetId="20">'Teil I - S.3'!$D$7</definedName>
    <definedName name="_IV10" localSheetId="21">'Teil I - S.3'!$D$7</definedName>
    <definedName name="_IV10">'Teil I - S.3'!$D$7</definedName>
    <definedName name="_JAHR" localSheetId="20">'Teil I - S.1 '!$D$5</definedName>
    <definedName name="_JAHR" localSheetId="21">'Teil I - S.1 '!$D$5</definedName>
    <definedName name="_JAHR">'Teil I - S.1 '!$D$5</definedName>
    <definedName name="_K01" localSheetId="20">Kennzahlen!$E$14</definedName>
    <definedName name="_K01" localSheetId="21">Kennzahlen!$E$14</definedName>
    <definedName name="_K01">Kennzahlen!$E$14</definedName>
    <definedName name="_K01A" localSheetId="20">Kennzahlen!$E$15</definedName>
    <definedName name="_K01A" localSheetId="21">Kennzahlen!$E$15</definedName>
    <definedName name="_K01A">Kennzahlen!$E$15</definedName>
    <definedName name="_K02" localSheetId="20">Kennzahlen!$E$16</definedName>
    <definedName name="_K02" localSheetId="21">Kennzahlen!$E$16</definedName>
    <definedName name="_K02">Kennzahlen!$E$16</definedName>
    <definedName name="_K02A" localSheetId="20">Kennzahlen!$E$17</definedName>
    <definedName name="_K02A" localSheetId="21">Kennzahlen!$E$17</definedName>
    <definedName name="_K02A">Kennzahlen!$E$17</definedName>
    <definedName name="_K03">Kennzahlen!$E$18</definedName>
    <definedName name="_K04">Kennzahlen!$E$19</definedName>
    <definedName name="_K05" localSheetId="20">Kennzahlen!$E$20</definedName>
    <definedName name="_K05" localSheetId="21">Kennzahlen!$E$20</definedName>
    <definedName name="_K05">Kennzahlen!$E$20</definedName>
    <definedName name="_K05A">Kennzahlen!$E$21</definedName>
    <definedName name="_K05B" localSheetId="20">Kennzahlen!#REF!</definedName>
    <definedName name="_K05B" localSheetId="21">Kennzahlen!#REF!</definedName>
    <definedName name="_K05B">Kennzahlen!#REF!</definedName>
    <definedName name="_K05C" localSheetId="20">Kennzahlen!#REF!</definedName>
    <definedName name="_K05C" localSheetId="21">Kennzahlen!#REF!</definedName>
    <definedName name="_K05C">Kennzahlen!#REF!</definedName>
    <definedName name="_K05D">Kennzahlen!$E$22</definedName>
    <definedName name="_K06">Kennzahlen!$E$23</definedName>
    <definedName name="_K06A" localSheetId="20">Kennzahlen!$E$24</definedName>
    <definedName name="_K06A" localSheetId="21">Kennzahlen!$E$24</definedName>
    <definedName name="_K06A">Kennzahlen!$E$24</definedName>
    <definedName name="_K06B">Kennzahlen!$E$25</definedName>
    <definedName name="_K06C" localSheetId="20">Kennzahlen!$E$26</definedName>
    <definedName name="_K06C" localSheetId="21">Kennzahlen!$E$26</definedName>
    <definedName name="_K06C">Kennzahlen!$E$26</definedName>
    <definedName name="_K06D" localSheetId="20">Kennzahlen!$E$27</definedName>
    <definedName name="_K06D" localSheetId="21">Kennzahlen!$E$27</definedName>
    <definedName name="_K06D">Kennzahlen!$E$27</definedName>
    <definedName name="_K06E" localSheetId="20">Kennzahlen!$E$28</definedName>
    <definedName name="_K06E" localSheetId="21">Kennzahlen!$E$28</definedName>
    <definedName name="_K06E">Kennzahlen!$E$28</definedName>
    <definedName name="_K07" localSheetId="20">Kennzahlen!$E$29</definedName>
    <definedName name="_K07" localSheetId="21">Kennzahlen!$E$29</definedName>
    <definedName name="_K07">Kennzahlen!$E$29</definedName>
    <definedName name="_K08" localSheetId="20">Kennzahlen!$E$30</definedName>
    <definedName name="_K08" localSheetId="21">Kennzahlen!$E$30</definedName>
    <definedName name="_K08">Kennzahlen!$E$30</definedName>
    <definedName name="_K08A">Kennzahlen!$E$31</definedName>
    <definedName name="_K08B">Kennzahlen!$E$32</definedName>
    <definedName name="_K08C">Kennzahlen!$E$33</definedName>
    <definedName name="_K08D">Kennzahlen!$E$34</definedName>
    <definedName name="_K09">Kennzahlen!$E$35</definedName>
    <definedName name="_K10" localSheetId="13">Handbuch!$F$31</definedName>
    <definedName name="_K10">Kennzahlen!$E$36</definedName>
    <definedName name="_K11" localSheetId="13">Handbuch!$F$32</definedName>
    <definedName name="_K11">Kennzahlen!$E$37</definedName>
    <definedName name="_K12" localSheetId="20">Kennzahlen!$E$38</definedName>
    <definedName name="_K12" localSheetId="13">Handbuch!$F$33</definedName>
    <definedName name="_K12" localSheetId="21">Kennzahlen!$E$38</definedName>
    <definedName name="_K12">Kennzahlen!$E$38</definedName>
    <definedName name="_K13" localSheetId="13">Handbuch!$F$34</definedName>
    <definedName name="_K13">Kennzahlen!$E$39</definedName>
    <definedName name="_K14" localSheetId="20">Kennzahlen!$E$40</definedName>
    <definedName name="_K14" localSheetId="13">Handbuch!$F$35</definedName>
    <definedName name="_K14" localSheetId="21">Kennzahlen!$E$40</definedName>
    <definedName name="_K14">Kennzahlen!$E$40</definedName>
    <definedName name="_K14A" localSheetId="20">Kennzahlen!$E$41</definedName>
    <definedName name="_K14A" localSheetId="21">Kennzahlen!$E$41</definedName>
    <definedName name="_K14A">Kennzahlen!$E$41</definedName>
    <definedName name="_K14B" localSheetId="20">Kennzahlen!$E$42</definedName>
    <definedName name="_K14B" localSheetId="21">Kennzahlen!$E$42</definedName>
    <definedName name="_K14B">Kennzahlen!$E$42</definedName>
    <definedName name="_K14C" localSheetId="20">Kennzahlen!$E$43</definedName>
    <definedName name="_K14C" localSheetId="21">Kennzahlen!$E$43</definedName>
    <definedName name="_K14C">Kennzahlen!$E$43</definedName>
    <definedName name="_K15" localSheetId="20">Kennzahlen!$E$44</definedName>
    <definedName name="_K15" localSheetId="13">Handbuch!$F$39</definedName>
    <definedName name="_K15" localSheetId="21">Kennzahlen!$E$44</definedName>
    <definedName name="_K15">Kennzahlen!$E$44</definedName>
    <definedName name="_K15A">Kennzahlen!$E$45</definedName>
    <definedName name="_K16" localSheetId="20">Kennzahlen!$E$48</definedName>
    <definedName name="_K16" localSheetId="13">Handbuch!$F$43</definedName>
    <definedName name="_K16" localSheetId="21">Kennzahlen!$E$48</definedName>
    <definedName name="_K16">Kennzahlen!$E$48</definedName>
    <definedName name="_K17" localSheetId="13">Handbuch!$F$45</definedName>
    <definedName name="_K17">Kennzahlen!$E$50</definedName>
    <definedName name="_K18" localSheetId="13">Handbuch!$F$46</definedName>
    <definedName name="_K18">Kennzahlen!$E$51</definedName>
    <definedName name="_K19" localSheetId="13">Handbuch!$F$48</definedName>
    <definedName name="_K19">Kennzahlen!$E$53</definedName>
    <definedName name="_K2" localSheetId="13">Handbuch!$F$11</definedName>
    <definedName name="_K2">Kennzahlen!$E$16</definedName>
    <definedName name="_K20" localSheetId="13">Handbuch!$F$53</definedName>
    <definedName name="_K20">Kennzahlen!$E$59</definedName>
    <definedName name="_K21" localSheetId="20">Kennzahlen!$E$60</definedName>
    <definedName name="_K21" localSheetId="13">Handbuch!$F$54</definedName>
    <definedName name="_K21" localSheetId="21">Kennzahlen!$E$60</definedName>
    <definedName name="_K21">Kennzahlen!$E$60</definedName>
    <definedName name="_K22" localSheetId="20">Kennzahlen!$E$61</definedName>
    <definedName name="_K22" localSheetId="13">Handbuch!$F$55</definedName>
    <definedName name="_K22" localSheetId="21">Kennzahlen!$E$61</definedName>
    <definedName name="_K22">Kennzahlen!$E$61</definedName>
    <definedName name="_K23" localSheetId="20">Kennzahlen!$E$62</definedName>
    <definedName name="_K23" localSheetId="13">Handbuch!$F$56</definedName>
    <definedName name="_K23" localSheetId="21">Kennzahlen!$E$62</definedName>
    <definedName name="_K23">Kennzahlen!$E$62</definedName>
    <definedName name="_K23A">Kennzahlen!$E$63</definedName>
    <definedName name="_K24" localSheetId="13">Handbuch!$F$58</definedName>
    <definedName name="_K24">Kennzahlen!$E$65</definedName>
    <definedName name="_K25" localSheetId="20">Kennzahlen!$E$69</definedName>
    <definedName name="_K25" localSheetId="13">Handbuch!$F$62</definedName>
    <definedName name="_K25" localSheetId="21">Kennzahlen!$E$69</definedName>
    <definedName name="_K25">Kennzahlen!$E$69</definedName>
    <definedName name="_K26" localSheetId="13">Handbuch!$F$63</definedName>
    <definedName name="_K26">Kennzahlen!$E$70</definedName>
    <definedName name="_K27" localSheetId="20">Kennzahlen!$E$73</definedName>
    <definedName name="_K27" localSheetId="13">Handbuch!$F$65</definedName>
    <definedName name="_K27" localSheetId="21">Kennzahlen!$E$73</definedName>
    <definedName name="_K27">Kennzahlen!$E$73</definedName>
    <definedName name="_K27A">Kennzahlen!$E$74</definedName>
    <definedName name="_K28" localSheetId="20">Kennzahlen!$E$78</definedName>
    <definedName name="_K28" localSheetId="13">Handbuch!$F$70</definedName>
    <definedName name="_K28" localSheetId="21">Kennzahlen!$E$78</definedName>
    <definedName name="_K28">Kennzahlen!$E$78</definedName>
    <definedName name="_K29" localSheetId="13">Handbuch!$F$72</definedName>
    <definedName name="_K29">Kennzahlen!$E$80</definedName>
    <definedName name="_K3" localSheetId="13">Handbuch!$F$13</definedName>
    <definedName name="_K3">Kennzahlen!$E$18</definedName>
    <definedName name="_K30" localSheetId="20">Kennzahlen!$E$81</definedName>
    <definedName name="_K30" localSheetId="13">Handbuch!$F$73</definedName>
    <definedName name="_K30" localSheetId="21">Kennzahlen!$E$81</definedName>
    <definedName name="_K30">Kennzahlen!$E$81</definedName>
    <definedName name="_K30A">Kennzahlen!$E$82</definedName>
    <definedName name="_K30B">Kennzahlen!$E$83</definedName>
    <definedName name="_K31" localSheetId="20">Kennzahlen!$E$84</definedName>
    <definedName name="_K31" localSheetId="13">Handbuch!$F$76</definedName>
    <definedName name="_K31" localSheetId="21">Kennzahlen!$E$84</definedName>
    <definedName name="_K31">Kennzahlen!$E$84</definedName>
    <definedName name="_K31A">Kennzahlen!$E$85</definedName>
    <definedName name="_K32" localSheetId="13">Handbuch!$F$78</definedName>
    <definedName name="_K32">Kennzahlen!$E$86</definedName>
    <definedName name="_K32A">Kennzahlen!$E$87</definedName>
    <definedName name="_K33" localSheetId="13">Handbuch!$F$80</definedName>
    <definedName name="_K33">Kennzahlen!$E$88</definedName>
    <definedName name="_K33A">Kennzahlen!$E$89</definedName>
    <definedName name="_K33B">Kennzahlen!$E$90</definedName>
    <definedName name="_K34" localSheetId="13">Handbuch!$F$83</definedName>
    <definedName name="_K34">Kennzahlen!$E$91</definedName>
    <definedName name="_K35" localSheetId="13">Handbuch!$F$84</definedName>
    <definedName name="_K35">Kennzahlen!$E$92</definedName>
    <definedName name="_K36" localSheetId="13">Handbuch!$F$86</definedName>
    <definedName name="_K36">Kennzahlen!$E$94</definedName>
    <definedName name="_K36A">Kennzahlen!$E$95</definedName>
    <definedName name="_K37" localSheetId="13">Handbuch!$F$88</definedName>
    <definedName name="_K37">Kennzahlen!$E$96</definedName>
    <definedName name="_K37A">Kennzahlen!$E$97</definedName>
    <definedName name="_K38" localSheetId="13">Handbuch!$F$90</definedName>
    <definedName name="_K38">Kennzahlen!$E$98</definedName>
    <definedName name="_K38A" localSheetId="20">Kennzahlen!$E$99</definedName>
    <definedName name="_K38A" localSheetId="21">Kennzahlen!$E$99</definedName>
    <definedName name="_K38A">Kennzahlen!$E$99</definedName>
    <definedName name="_K39" localSheetId="13">Handbuch!$F$92</definedName>
    <definedName name="_K39">Kennzahlen!$E$100</definedName>
    <definedName name="_K39A">Kennzahlen!$E$101</definedName>
    <definedName name="_K4" localSheetId="13">Handbuch!$F$14</definedName>
    <definedName name="_K4">Kennzahlen!$E$19</definedName>
    <definedName name="_K40" localSheetId="20">Kennzahlen!$E$107</definedName>
    <definedName name="_K40" localSheetId="13">Handbuch!$F$98</definedName>
    <definedName name="_K40" localSheetId="21">Kennzahlen!$E$107</definedName>
    <definedName name="_K40">Kennzahlen!$E$107</definedName>
    <definedName name="_K40A">Kennzahlen!$E$108</definedName>
    <definedName name="_K41" localSheetId="13">Handbuch!$F$100</definedName>
    <definedName name="_K41">Kennzahlen!$E$109</definedName>
    <definedName name="_K42" localSheetId="20">Kennzahlen!$E$110</definedName>
    <definedName name="_K42" localSheetId="13">Handbuch!$F$101</definedName>
    <definedName name="_K42" localSheetId="21">Kennzahlen!$E$110</definedName>
    <definedName name="_K42">Kennzahlen!$E$110</definedName>
    <definedName name="_K43" localSheetId="13">Handbuch!$F$102</definedName>
    <definedName name="_K43">Kennzahlen!$E$111</definedName>
    <definedName name="_K44" localSheetId="13">Handbuch!$F$103</definedName>
    <definedName name="_K44">Kennzahlen!$E$112</definedName>
    <definedName name="_K45" localSheetId="13">Handbuch!$F$104</definedName>
    <definedName name="_K45">Kennzahlen!$E$113</definedName>
    <definedName name="_K46" localSheetId="13">Handbuch!$F$105</definedName>
    <definedName name="_K46">Kennzahlen!$E$114</definedName>
    <definedName name="_K47" localSheetId="13">Handbuch!$F$106</definedName>
    <definedName name="_K47">Kennzahlen!$E$115</definedName>
    <definedName name="_K48" localSheetId="13">Handbuch!$F$107</definedName>
    <definedName name="_K48">Kennzahlen!$E$116</definedName>
    <definedName name="_K48A">Kennzahlen!$E$117</definedName>
    <definedName name="_K48B" localSheetId="20">Kennzahlen!$E$118</definedName>
    <definedName name="_K48B" localSheetId="21">Kennzahlen!$E$118</definedName>
    <definedName name="_K48B">Kennzahlen!$E$118</definedName>
    <definedName name="_K49" localSheetId="13">Handbuch!$F$114</definedName>
    <definedName name="_K49">Kennzahlen!$E$124</definedName>
    <definedName name="_K49A">Kennzahlen!$E$125</definedName>
    <definedName name="_K5" localSheetId="13">Handbuch!$F$15</definedName>
    <definedName name="_K5">Kennzahlen!$E$20</definedName>
    <definedName name="_K50" localSheetId="20">Kennzahlen!$E$126</definedName>
    <definedName name="_K50" localSheetId="13">Handbuch!$F$116</definedName>
    <definedName name="_K50" localSheetId="21">Kennzahlen!$E$126</definedName>
    <definedName name="_K50">Kennzahlen!$E$126</definedName>
    <definedName name="_K51" localSheetId="13">Handbuch!$F$117</definedName>
    <definedName name="_K51">Kennzahlen!$E$127</definedName>
    <definedName name="_K52">Kennzahlen!$E$128</definedName>
    <definedName name="_K53">Kennzahlen!$E$129</definedName>
    <definedName name="_K54" localSheetId="20">Kennzahlen!$E$130</definedName>
    <definedName name="_K54" localSheetId="21">Kennzahlen!$E$130</definedName>
    <definedName name="_K54">Kennzahlen!$E$130</definedName>
    <definedName name="_K55">Kennzahlen!$E$131</definedName>
    <definedName name="_K6" localSheetId="13">Handbuch!$F$18</definedName>
    <definedName name="_K6">Kennzahlen!$E$23</definedName>
    <definedName name="_K7" localSheetId="13">Handbuch!$F$24</definedName>
    <definedName name="_K7">Kennzahlen!$E$29</definedName>
    <definedName name="_K8" localSheetId="13">Handbuch!$F$25</definedName>
    <definedName name="_K8">Kennzahlen!$E$30</definedName>
    <definedName name="_K9" localSheetId="13">Handbuch!$F$30</definedName>
    <definedName name="_K9">Kennzahlen!$E$35</definedName>
    <definedName name="_KA03" localSheetId="20">'Teil I - S.3'!$D$10</definedName>
    <definedName name="_KA03" localSheetId="21">'Teil I - S.3'!$D$10</definedName>
    <definedName name="_KA03">'Teil I - S.3'!$D$10</definedName>
    <definedName name="_KA04" localSheetId="20">'Teil I - S.3'!$D$11</definedName>
    <definedName name="_KA04" localSheetId="21">'Teil I - S.3'!$D$11</definedName>
    <definedName name="_KA04">'Teil I - S.3'!$D$11</definedName>
    <definedName name="_KA07" localSheetId="20">'Teil I - S.3'!$D$19</definedName>
    <definedName name="_KA07" localSheetId="21">'Teil I - S.3'!$D$19</definedName>
    <definedName name="_KA07">'Teil I - S.3'!$D$19</definedName>
    <definedName name="_KA08" localSheetId="20">'Teil I - S.3'!$D$20</definedName>
    <definedName name="_KA08" localSheetId="21">'Teil I - S.3'!$D$20</definedName>
    <definedName name="_KA08">'Teil I - S.3'!$D$20</definedName>
    <definedName name="_KV08" localSheetId="20">'Teil I - S.4'!$H$37</definedName>
    <definedName name="_KV08" localSheetId="21">'Teil I - S.4'!$H$37</definedName>
    <definedName name="_KV08">'Teil I - S.4'!$H$37</definedName>
    <definedName name="_KV09" localSheetId="20">'Teil I - S.5'!$D$38</definedName>
    <definedName name="_KV09" localSheetId="21">'Teil I - S.5'!$D$38</definedName>
    <definedName name="_KV09">'Teil I - S.5'!$D$38</definedName>
    <definedName name="_KV10" localSheetId="20">'Teil I - S.5'!$D$41</definedName>
    <definedName name="_KV10" localSheetId="21">'Teil I - S.5'!$D$41</definedName>
    <definedName name="_KV10">'Teil I - S.5'!$D$41</definedName>
    <definedName name="_LG01" localSheetId="20">'Teil II'!$D$9</definedName>
    <definedName name="_LG01" localSheetId="21">'Teil II'!$D$9</definedName>
    <definedName name="_LG01">'Teil II'!$D$9</definedName>
    <definedName name="_LG02" localSheetId="20">'Teil II'!$D$17</definedName>
    <definedName name="_LG02" localSheetId="21">'Teil II'!$D$17</definedName>
    <definedName name="_LG02">'Teil II'!$D$17</definedName>
    <definedName name="_LG03" localSheetId="20">'Teil II'!$D$10</definedName>
    <definedName name="_LG03" localSheetId="21">'Teil II'!$D$10</definedName>
    <definedName name="_LG03">'Teil II'!$D$10</definedName>
    <definedName name="_LG04" localSheetId="20">'Teil II'!$D$18</definedName>
    <definedName name="_LG04" localSheetId="21">'Teil II'!$D$18</definedName>
    <definedName name="_LG04">'Teil II'!$D$18</definedName>
    <definedName name="_LG05" localSheetId="20">'Teil II'!$D$11</definedName>
    <definedName name="_LG05" localSheetId="21">'Teil II'!$D$11</definedName>
    <definedName name="_LG05">'Teil II'!$D$11</definedName>
    <definedName name="_LG06" localSheetId="20">'Teil II'!$D$19</definedName>
    <definedName name="_LG06" localSheetId="21">'Teil II'!$D$19</definedName>
    <definedName name="_LG06">'Teil II'!$D$19</definedName>
    <definedName name="_LG09" localSheetId="20">'Teil II'!$D$25</definedName>
    <definedName name="_LG09" localSheetId="21">'Teil II'!$D$25</definedName>
    <definedName name="_LG09">'Teil II'!$D$25</definedName>
    <definedName name="_LG10" localSheetId="20">'Teil I - S.8'!$D$39</definedName>
    <definedName name="_LG10" localSheetId="21">'Teil I - S.8'!$D$39</definedName>
    <definedName name="_LG10">'Teil I - S.8'!$D$39</definedName>
    <definedName name="_LG20" localSheetId="20">'Teil II'!$D$20</definedName>
    <definedName name="_LG20" localSheetId="21">'Teil II'!$D$20</definedName>
    <definedName name="_LG20">'Teil II'!$D$20</definedName>
    <definedName name="_LR09" localSheetId="20">'Teil I - S.4'!$K$42</definedName>
    <definedName name="_LR09" localSheetId="21">'Teil I - S.4'!$K$42</definedName>
    <definedName name="_LR09">'Teil I - S.4'!$K$42</definedName>
    <definedName name="_LR09A" localSheetId="20">'Teil I - S.4'!$K$46</definedName>
    <definedName name="_LR09A" localSheetId="21">'Teil I - S.4'!$K$46</definedName>
    <definedName name="_LR09A">'Teil I - S.4'!$K$46</definedName>
    <definedName name="_LR10" localSheetId="20">'Teil I - S.4'!$K$39</definedName>
    <definedName name="_LR10" localSheetId="21">'Teil I - S.4'!$K$39</definedName>
    <definedName name="_LR10">'Teil I - S.4'!$K$39</definedName>
    <definedName name="_LR10N" localSheetId="13">Handbuch!$G$62</definedName>
    <definedName name="_LR10N">Kennzahlen!$F$66</definedName>
    <definedName name="_LV10" localSheetId="20">'Teil I - S.5'!$D$34</definedName>
    <definedName name="_LV10" localSheetId="21">'Teil I - S.5'!$D$34</definedName>
    <definedName name="_LV10">'Teil I - S.5'!$D$34</definedName>
    <definedName name="_LW05" localSheetId="20">'Teil I - S.2'!$F$40</definedName>
    <definedName name="_LW05" localSheetId="21">'Teil I - S.2'!$F$40</definedName>
    <definedName name="_LW05">'Teil I - S.2'!$F$40</definedName>
    <definedName name="_LW06" localSheetId="20">'Teil I - S.2'!$F$41</definedName>
    <definedName name="_LW06" localSheetId="21">'Teil I - S.2'!$F$41</definedName>
    <definedName name="_LW06">'Teil I - S.2'!$F$41</definedName>
    <definedName name="_LW07" localSheetId="20">'Teil I - S.2'!$F$42</definedName>
    <definedName name="_LW07" localSheetId="21">'Teil I - S.2'!$F$42</definedName>
    <definedName name="_LW07">'Teil I - S.2'!$F$42</definedName>
    <definedName name="_LW08" localSheetId="20">'Teil I - S.2'!$F$43</definedName>
    <definedName name="_LW08" localSheetId="21">'Teil I - S.2'!$F$43</definedName>
    <definedName name="_LW08">'Teil I - S.2'!$F$43</definedName>
    <definedName name="_LW09" localSheetId="20">'Teil I - S.2'!$F$44</definedName>
    <definedName name="_LW09" localSheetId="21">'Teil I - S.2'!$F$44</definedName>
    <definedName name="_LW09">'Teil I - S.2'!$F$44</definedName>
    <definedName name="_LW10" localSheetId="20">'Teil I - S.2'!$F$37</definedName>
    <definedName name="_LW10" localSheetId="21">'Teil I - S.2'!$F$37</definedName>
    <definedName name="_LW10">'Teil I - S.2'!$F$37</definedName>
    <definedName name="_MGKBI" localSheetId="20">'Teil AGW'!#REF!</definedName>
    <definedName name="_MGKBI" localSheetId="21">'Teil AGW'!#REF!</definedName>
    <definedName name="_MGKBI">'Teil AGW'!#REF!</definedName>
    <definedName name="_MW10" localSheetId="20">'Teil I - S.2'!$F$30</definedName>
    <definedName name="_MW10" localSheetId="21">'Teil I - S.2'!$F$30</definedName>
    <definedName name="_MW10">'Teil I - S.2'!$F$30</definedName>
    <definedName name="_MW11" localSheetId="20">'Teil I - S.2'!$F$34</definedName>
    <definedName name="_MW11" localSheetId="21">'Teil I - S.2'!$F$34</definedName>
    <definedName name="_MW11">'Teil I - S.2'!$F$34</definedName>
    <definedName name="_NAME" localSheetId="20">'Teil I - S.1 '!$D$9</definedName>
    <definedName name="_NAME" localSheetId="21">'Teil I - S.1 '!$D$9</definedName>
    <definedName name="_NAME">'Teil I - S.1 '!$D$9</definedName>
    <definedName name="_PA01" localSheetId="20">'Teil I - S.8'!$D$25</definedName>
    <definedName name="_PA01" localSheetId="21">'Teil I - S.8'!$D$25</definedName>
    <definedName name="_PA01">'Teil I - S.8'!$D$25</definedName>
    <definedName name="_PB01" localSheetId="20">'Teil I - S.1 '!$H$102</definedName>
    <definedName name="_PB01" localSheetId="21">'Teil I - S.1 '!$H$102</definedName>
    <definedName name="_PB01">'Teil I - S.1 '!$H$103</definedName>
    <definedName name="_PB02" localSheetId="20">'Teil I - S.1 '!$H$103</definedName>
    <definedName name="_PB02" localSheetId="21">'Teil I - S.1 '!$H$103</definedName>
    <definedName name="_PB02">'Teil I - S.1 '!$H$104</definedName>
    <definedName name="_PB03" localSheetId="20">'Teil I - S.1 '!$H$104</definedName>
    <definedName name="_PB03" localSheetId="21">'Teil I - S.1 '!$H$104</definedName>
    <definedName name="_PB03">'Teil I - S.1 '!$H$105</definedName>
    <definedName name="_PB04" localSheetId="20">'Teil I - S.1 '!$H$105</definedName>
    <definedName name="_PB04" localSheetId="21">'Teil I - S.1 '!$H$105</definedName>
    <definedName name="_PB04">'Teil I - S.1 '!$H$106</definedName>
    <definedName name="_PB05" localSheetId="20">'Teil I - S.1 '!$H$106</definedName>
    <definedName name="_PB05" localSheetId="21">'Teil I - S.1 '!$H$106</definedName>
    <definedName name="_PB05">'Teil I - S.1 '!$H$107</definedName>
    <definedName name="_PB06" localSheetId="20">'Teil I - S.1 '!$H$107</definedName>
    <definedName name="_PB06" localSheetId="21">'Teil I - S.1 '!$H$107</definedName>
    <definedName name="_PB06">'Teil I - S.1 '!$H$108</definedName>
    <definedName name="_PB10" localSheetId="20">'Teil I - S.1 '!$H$109</definedName>
    <definedName name="_PB10" localSheetId="21">'Teil I - S.1 '!$H$109</definedName>
    <definedName name="_PB10">'Teil I - S.1 '!$H$110</definedName>
    <definedName name="_PB30" localSheetId="20">'Teil II'!$D$68</definedName>
    <definedName name="_PB30" localSheetId="21">'Teil II'!$D$68</definedName>
    <definedName name="_PB30">'Teil II'!$D$68</definedName>
    <definedName name="_PE01" localSheetId="20">'Teil I - S.2'!$D$23</definedName>
    <definedName name="_PE01" localSheetId="21">'Teil I - S.2'!$D$23</definedName>
    <definedName name="_PE01">'Teil I - S.2'!$D$23</definedName>
    <definedName name="_PE02" localSheetId="20">'Teil I - S.2'!$D$24</definedName>
    <definedName name="_PE02" localSheetId="21">'Teil I - S.2'!$D$24</definedName>
    <definedName name="_PE02">'Teil I - S.2'!$D$24</definedName>
    <definedName name="_PE03" localSheetId="20">'Teil I - S.2'!$D$25</definedName>
    <definedName name="_PE03" localSheetId="21">'Teil I - S.2'!$D$25</definedName>
    <definedName name="_PE03">'Teil I - S.2'!$D$25</definedName>
    <definedName name="_PERS" localSheetId="20">'Teil I - S.1 '!$H$80</definedName>
    <definedName name="_PERS" localSheetId="21">'Teil I - S.1 '!$H$80</definedName>
    <definedName name="_PERS">'Teil I - S.1 '!$H$81</definedName>
    <definedName name="_PN10" localSheetId="20">'Teil I - S.2'!#REF!</definedName>
    <definedName name="_PN10" localSheetId="21">'Teil I - S.2'!#REF!</definedName>
    <definedName name="_PN10">'Teil I - S.2'!#REF!</definedName>
    <definedName name="_RA02" localSheetId="20">'Teil I - S.5'!$D$40</definedName>
    <definedName name="_RA02" localSheetId="21">'Teil I - S.5'!$D$40</definedName>
    <definedName name="_RA02">'Teil I - S.5'!$D$40</definedName>
    <definedName name="_RBAU" localSheetId="20">'Teil I - S.4'!$E$36</definedName>
    <definedName name="_RBAU" localSheetId="21">'Teil I - S.4'!$E$36</definedName>
    <definedName name="_RBAU">'Teil I - S.4'!$E$36</definedName>
    <definedName name="_REFO" localSheetId="20">'Teil I - S.1 '!$H$22</definedName>
    <definedName name="_REFO" localSheetId="21">'Teil I - S.1 '!$H$22</definedName>
    <definedName name="_REFO">'Teil I - S.1 '!$H$22</definedName>
    <definedName name="_REGI" localSheetId="20">'Teil I - S.1 '!$H$64</definedName>
    <definedName name="_REGI" localSheetId="21">'Teil I - S.1 '!$H$64</definedName>
    <definedName name="_REGI">'Teil I - S.1 '!$H$65</definedName>
    <definedName name="_REGN" localSheetId="20">'Teil I - S.1 '!$H$90</definedName>
    <definedName name="_REGN" localSheetId="21">'Teil I - S.1 '!$H$90</definedName>
    <definedName name="_REGN">'Teil I - S.1 '!$H$91</definedName>
    <definedName name="_SA01" localSheetId="20">'Teil I - S.8'!$D$15</definedName>
    <definedName name="_SA01" localSheetId="21">'Teil I - S.8'!$D$15</definedName>
    <definedName name="_SA01">'Teil I - S.8'!$D$15</definedName>
    <definedName name="_SA05" localSheetId="20">'Teil I - S.8'!$D$80</definedName>
    <definedName name="_SA05" localSheetId="21">'Teil I - S.8'!$D$80</definedName>
    <definedName name="_SA05">'Teil I - S.8'!$D$80</definedName>
    <definedName name="_SA10" localSheetId="20">'Teil I - S.8'!$D$71</definedName>
    <definedName name="_SA10" localSheetId="21">'Teil I - S.8'!$D$71</definedName>
    <definedName name="_SA10">'Teil I - S.8'!$D$71</definedName>
    <definedName name="_SA11" localSheetId="20">'Teil I - S.8'!$D$81</definedName>
    <definedName name="_SA11" localSheetId="21">'Teil I - S.8'!$D$81</definedName>
    <definedName name="_SA11">'Teil I - S.8'!$D$81</definedName>
    <definedName name="_SE01" localSheetId="20">'Teil I - S.7'!$D$31</definedName>
    <definedName name="_SE01" localSheetId="21">'Teil I - S.7'!$D$31</definedName>
    <definedName name="_SE01">'Teil I - S.7'!$D$31</definedName>
    <definedName name="_SE02" localSheetId="20">'Teil I - S.7'!$D$32</definedName>
    <definedName name="_SE02" localSheetId="21">'Teil I - S.7'!$D$32</definedName>
    <definedName name="_SE02">'Teil I - S.7'!$D$32</definedName>
    <definedName name="_SE03" localSheetId="20">'Teil I - S.7'!$D$33</definedName>
    <definedName name="_SE03" localSheetId="21">'Teil I - S.7'!$D$33</definedName>
    <definedName name="_SE03">'Teil I - S.7'!$D$33</definedName>
    <definedName name="_SE04" localSheetId="20">'Teil I - S.7'!$D$40</definedName>
    <definedName name="_SE04" localSheetId="21">'Teil I - S.7'!$D$40</definedName>
    <definedName name="_SE04">'Teil I - S.7'!$D$40</definedName>
    <definedName name="_SE05" localSheetId="20">'Teil I - S.7'!$D$34</definedName>
    <definedName name="_SE05" localSheetId="21">'Teil I - S.7'!$D$34</definedName>
    <definedName name="_SE05">'Teil I - S.7'!$D$34</definedName>
    <definedName name="_SE06" localSheetId="20">'Teil I - S.7'!#REF!</definedName>
    <definedName name="_SE06" localSheetId="21">'Teil I - S.7'!#REF!</definedName>
    <definedName name="_SE06">'Teil I - S.7'!#REF!</definedName>
    <definedName name="_SE07" localSheetId="20">'Teil I - S.7'!$D$35</definedName>
    <definedName name="_SE07" localSheetId="21">'Teil I - S.7'!$D$35</definedName>
    <definedName name="_SE07">'Teil I - S.7'!$D$35</definedName>
    <definedName name="_SE08" localSheetId="20">'Teil I - S.7'!$D$36</definedName>
    <definedName name="_SE08" localSheetId="21">'Teil I - S.7'!$D$36</definedName>
    <definedName name="_SE08">'Teil I - S.7'!$D$36</definedName>
    <definedName name="_SE09" localSheetId="20">'Teil I - S.7'!$D$37</definedName>
    <definedName name="_SE09" localSheetId="21">'Teil I - S.7'!$D$37</definedName>
    <definedName name="_SE09">'Teil I - S.7'!$D$37</definedName>
    <definedName name="_SE10" localSheetId="20">'Teil I - S.7'!$D$27</definedName>
    <definedName name="_SE10" localSheetId="21">'Teil I - S.7'!$D$27</definedName>
    <definedName name="_SE10">'Teil I - S.7'!$D$27</definedName>
    <definedName name="_SE11" localSheetId="20">'Teil I - S.7'!$D$38</definedName>
    <definedName name="_SE11" localSheetId="21">'Teil I - S.7'!$D$38</definedName>
    <definedName name="_SE11">'Teil I - S.7'!$D$38</definedName>
    <definedName name="_SE12" localSheetId="20">'Teil I - S.7'!$D$39</definedName>
    <definedName name="_SE12" localSheetId="21">'Teil I - S.7'!$D$39</definedName>
    <definedName name="_SE12">'Teil I - S.7'!$D$39</definedName>
    <definedName name="_SL10" localSheetId="20">'Teil I - S.5'!$D$31</definedName>
    <definedName name="_SL10" localSheetId="21">'Teil I - S.5'!$D$31</definedName>
    <definedName name="_SL10">'Teil I - S.5'!$D$31</definedName>
    <definedName name="_SL20" localSheetId="20">'Teil I - S.5'!$D$39</definedName>
    <definedName name="_SL20" localSheetId="21">'Teil I - S.5'!$D$39</definedName>
    <definedName name="_SL20">'Teil I - S.5'!$D$39</definedName>
    <definedName name="_SP09" localSheetId="20">'Teil I - S.4'!$E$20</definedName>
    <definedName name="_SP09" localSheetId="21">'Teil I - S.4'!$E$20</definedName>
    <definedName name="_SP09">'Teil I - S.4'!$E$20</definedName>
    <definedName name="_SP10" localSheetId="20">'Teil I - S.4'!$E$21</definedName>
    <definedName name="_SP10" localSheetId="21">'Teil I - S.4'!$E$21</definedName>
    <definedName name="_SP10">'Teil I - S.4'!$E$21</definedName>
    <definedName name="_SP11" localSheetId="20">'Teil I - S.4'!$E$24</definedName>
    <definedName name="_SP11" localSheetId="21">'Teil I - S.4'!$E$24</definedName>
    <definedName name="_SP11">'Teil I - S.4'!$E$24</definedName>
    <definedName name="_SPAR">'Teil I - S.1 '!$H$25</definedName>
    <definedName name="_ST10" localSheetId="20">'Teil I - S.9'!$D$22</definedName>
    <definedName name="_ST10" localSheetId="21">'Teil I - S.9'!$D$22</definedName>
    <definedName name="_ST10">'Teil I - S.9'!$D$22</definedName>
    <definedName name="_T03" localSheetId="20">Kennzahlen!#REF!</definedName>
    <definedName name="_T03" localSheetId="21">Kennzahlen!#REF!</definedName>
    <definedName name="_T03">Kennzahlen!#REF!</definedName>
    <definedName name="_TAET" localSheetId="20">'Teil I - S.1 '!$H$53</definedName>
    <definedName name="_TAET" localSheetId="21">'Teil I - S.1 '!$H$53</definedName>
    <definedName name="_TAET">'Teil I - S.1 '!$H$54</definedName>
    <definedName name="_TBAU" localSheetId="20">'Teil I - S.1 '!$H$11</definedName>
    <definedName name="_TBAU" localSheetId="21">'Teil I - S.1 '!$H$11</definedName>
    <definedName name="_TBAU">'Teil I - S.1 '!$H$11</definedName>
    <definedName name="_TBAV" localSheetId="20">'Teil I - S.1 '!$H$15</definedName>
    <definedName name="_TBAV" localSheetId="21">'Teil I - S.1 '!$H$15</definedName>
    <definedName name="_TBAV">'Teil I - S.1 '!$H$15</definedName>
    <definedName name="_TEAB" localSheetId="20">'Teil I - S.1 '!$H$59</definedName>
    <definedName name="_TEAB" localSheetId="21">'Teil I - S.1 '!$H$59</definedName>
    <definedName name="_TEAB">'Teil I - S.1 '!$H$60</definedName>
    <definedName name="_TEIL" localSheetId="20">Kontrolle!$F$29</definedName>
    <definedName name="_TEIL" localSheetId="21">Kontrolle!$F$29</definedName>
    <definedName name="_TEIL">Kontrolle!$F$29</definedName>
    <definedName name="_TI10" localSheetId="20">'Teil I - S.5'!$D$16</definedName>
    <definedName name="_TI10" localSheetId="21">'Teil I - S.5'!$D$16</definedName>
    <definedName name="_TI10">'Teil I - S.5'!$D$16</definedName>
    <definedName name="_UE01" localSheetId="20">'Teil I - S.6'!$D$11</definedName>
    <definedName name="_UE01" localSheetId="21">'Teil I - S.6'!$D$11</definedName>
    <definedName name="_UE01">'Teil I - S.6'!$D$11</definedName>
    <definedName name="_UE02" localSheetId="20">'Teil I - S.6'!$D$12</definedName>
    <definedName name="_UE02" localSheetId="21">'Teil I - S.6'!$D$12</definedName>
    <definedName name="_UE02">'Teil I - S.6'!$D$12</definedName>
    <definedName name="_UE03" localSheetId="20">'Teil I - S.6'!$D$13</definedName>
    <definedName name="_UE03" localSheetId="21">'Teil I - S.6'!$D$13</definedName>
    <definedName name="_UE03">'Teil I - S.6'!$D$13</definedName>
    <definedName name="_UE04" localSheetId="20">'Teil I - S.6'!$D$25</definedName>
    <definedName name="_UE04" localSheetId="21">'Teil I - S.6'!$D$25</definedName>
    <definedName name="_UE04">'Teil I - S.6'!$D$25</definedName>
    <definedName name="_UE05" localSheetId="20">'Teil I - S.6'!$D$15</definedName>
    <definedName name="_UE05" localSheetId="21">'Teil I - S.6'!$D$15</definedName>
    <definedName name="_UE05">'Teil I - S.6'!$D$15</definedName>
    <definedName name="_UE06" localSheetId="20">'Teil I - S.6'!$D$22</definedName>
    <definedName name="_UE06" localSheetId="21">'Teil I - S.6'!$D$22</definedName>
    <definedName name="_UE06">'Teil I - S.6'!$D$22</definedName>
    <definedName name="_UE07" localSheetId="20">'Teil I - S.6'!$D$26</definedName>
    <definedName name="_UE07" localSheetId="21">'Teil I - S.6'!$D$26</definedName>
    <definedName name="_UE07">'Teil I - S.6'!$D$26</definedName>
    <definedName name="_UE08" localSheetId="20">'Teil I - S.6'!$D$22</definedName>
    <definedName name="_UE08" localSheetId="21">'Teil I - S.6'!$D$22</definedName>
    <definedName name="_UE08">'Teil I - S.6'!$D$22</definedName>
    <definedName name="_UE10" localSheetId="20">'Teil I - S.6'!$D$6</definedName>
    <definedName name="_UE10" localSheetId="21">'Teil I - S.6'!$D$6</definedName>
    <definedName name="_UE10">'Teil I - S.6'!$D$6</definedName>
    <definedName name="_UE11" localSheetId="20">'Teil I - S.6'!#REF!</definedName>
    <definedName name="_UE11" localSheetId="21">'Teil I - S.6'!#REF!</definedName>
    <definedName name="_UE11">'Teil I - S.6'!#REF!</definedName>
    <definedName name="_UE12" localSheetId="20">'Teil I - S.6'!#REF!</definedName>
    <definedName name="_UE12" localSheetId="21">'Teil I - S.6'!#REF!</definedName>
    <definedName name="_UE12">'Teil I - S.6'!#REF!</definedName>
    <definedName name="_UE13" localSheetId="20">'Teil I - S.6'!#REF!</definedName>
    <definedName name="_UE13" localSheetId="21">'Teil I - S.6'!#REF!</definedName>
    <definedName name="_UE13">'Teil I - S.6'!#REF!</definedName>
    <definedName name="_UE20" localSheetId="20">'Teil I - S.6'!$D$33</definedName>
    <definedName name="_UE20" localSheetId="21">'Teil I - S.6'!$D$33</definedName>
    <definedName name="_UE20">'Teil I - S.6'!$D$33</definedName>
    <definedName name="_UE30" localSheetId="20">'Teil I - S.6'!$D$43</definedName>
    <definedName name="_UE30" localSheetId="21">'Teil I - S.6'!$D$43</definedName>
    <definedName name="_UE30">'Teil I - S.6'!$D$43</definedName>
    <definedName name="_UE40" localSheetId="20">'Teil I - S.6'!$D$46</definedName>
    <definedName name="_UE40" localSheetId="21">'Teil I - S.6'!$D$46</definedName>
    <definedName name="_UE40">'Teil I - S.6'!$D$46</definedName>
    <definedName name="_UE45">'Teil I - S.6'!$D$37</definedName>
    <definedName name="_UE50" localSheetId="20">'Teil I - S.6'!$D$36</definedName>
    <definedName name="_UE50" localSheetId="21">'Teil I - S.6'!$D$36</definedName>
    <definedName name="_UE50">'Teil I - S.6'!$D$36</definedName>
    <definedName name="_UE51" localSheetId="20">'Teil I - S.6'!$D$39</definedName>
    <definedName name="_UE51" localSheetId="21">'Teil I - S.6'!$D$39</definedName>
    <definedName name="_UE51">'Teil I - S.6'!$D$39</definedName>
    <definedName name="_UKZ" localSheetId="20">'Teil I - S.1 '!$D$7</definedName>
    <definedName name="_UKZ" localSheetId="21">'Teil I - S.1 '!$D$7</definedName>
    <definedName name="_UKZ">'Teil I - S.1 '!$D$7</definedName>
    <definedName name="_UV10" localSheetId="20">'Teil I - S.3'!$D$47</definedName>
    <definedName name="_UV10" localSheetId="21">'Teil I - S.3'!$D$47</definedName>
    <definedName name="_UV10">'Teil I - S.3'!$D$47</definedName>
    <definedName name="_UV11" localSheetId="20">'Teil I - S.3'!#REF!</definedName>
    <definedName name="_UV11" localSheetId="21">'Teil I - S.3'!#REF!</definedName>
    <definedName name="_UV11">'Teil I - S.3'!#REF!</definedName>
    <definedName name="_UV20" localSheetId="20">'Teil I - S.3'!$D$50</definedName>
    <definedName name="_UV20" localSheetId="21">'Teil I - S.3'!$D$50</definedName>
    <definedName name="_UV20">'Teil I - S.3'!$D$50</definedName>
    <definedName name="_UV22" localSheetId="20">'Teil I - S.3'!#REF!</definedName>
    <definedName name="_UV22" localSheetId="21">'Teil I - S.3'!#REF!</definedName>
    <definedName name="_UV22">'Teil I - S.3'!#REF!</definedName>
    <definedName name="_UV23" localSheetId="20">'Teil I - S.3'!$D$55</definedName>
    <definedName name="_UV23" localSheetId="21">'Teil I - S.3'!$D$55</definedName>
    <definedName name="_UV23">'Teil I - S.3'!$D$55</definedName>
    <definedName name="_UV24" localSheetId="20">'Teil I - S.3'!$D$56</definedName>
    <definedName name="_UV24" localSheetId="21">'Teil I - S.3'!$D$56</definedName>
    <definedName name="_UV24">'Teil I - S.3'!$D$56</definedName>
    <definedName name="_UV25" localSheetId="20">'Teil I - S.3'!$D$54</definedName>
    <definedName name="_UV25" localSheetId="21">'Teil I - S.3'!$D$54</definedName>
    <definedName name="_UV25">'Teil I - S.3'!$D$54</definedName>
    <definedName name="_VE01" localSheetId="20">'Teil I - S.2'!$D$17</definedName>
    <definedName name="_VE01" localSheetId="21">'Teil I - S.2'!$D$17</definedName>
    <definedName name="_VE01">'Teil I - S.2'!$D$17</definedName>
    <definedName name="_VE02" localSheetId="20">'Teil I - S.2'!$D$18</definedName>
    <definedName name="_VE02" localSheetId="21">'Teil I - S.2'!$D$18</definedName>
    <definedName name="_VE02">'Teil I - S.2'!$D$18</definedName>
    <definedName name="_VE03" localSheetId="20">'Teil I - S.2'!$D$19</definedName>
    <definedName name="_VE03" localSheetId="21">'Teil I - S.2'!$D$19</definedName>
    <definedName name="_VE03">'Teil I - S.2'!$D$19</definedName>
    <definedName name="_VE04" localSheetId="20">'Teil I - S.2'!$D$20</definedName>
    <definedName name="_VE04" localSheetId="21">'Teil I - S.2'!$D$20</definedName>
    <definedName name="_VE04">'Teil I - S.2'!$D$20</definedName>
    <definedName name="_VERB" localSheetId="20">'Teil I - S.1 '!$H$88</definedName>
    <definedName name="_VERB" localSheetId="21">'Teil I - S.1 '!$H$88</definedName>
    <definedName name="_VERB">'Teil I - S.1 '!$H$89</definedName>
    <definedName name="_VERK01" localSheetId="20">'Teil AGW'!$D$8</definedName>
    <definedName name="_VERK01" localSheetId="21">'Teil AGW'!$D$8</definedName>
    <definedName name="_VERK01">'Teil AGW'!$D$8</definedName>
    <definedName name="_VERK02" localSheetId="20">'Teil AGW'!$D$9</definedName>
    <definedName name="_VERK02" localSheetId="21">'Teil AGW'!$D$9</definedName>
    <definedName name="_VERK02">'Teil AGW'!$D$9</definedName>
    <definedName name="_VERK03" localSheetId="20">'Teil AGW'!$D$13</definedName>
    <definedName name="_VERK03" localSheetId="21">'Teil AGW'!$D$13</definedName>
    <definedName name="_VERK03">'Teil AGW'!$D$13</definedName>
    <definedName name="_VERK04" localSheetId="20">'Teil AGW'!$D$15</definedName>
    <definedName name="_VERK04" localSheetId="21">'Teil AGW'!$D$15</definedName>
    <definedName name="_VERK04">'Teil AGW'!$D$15</definedName>
    <definedName name="_VERK1">#REF!</definedName>
    <definedName name="_VERK2">#REF!</definedName>
    <definedName name="_VERKER">#REF!</definedName>
    <definedName name="_WACC" localSheetId="20">'Teil AGW'!#REF!</definedName>
    <definedName name="_WACC" localSheetId="21">'Teil AGW'!#REF!</definedName>
    <definedName name="_WACC">'Teil AGW'!#REF!</definedName>
    <definedName name="_WAEH" localSheetId="20">'Teil I - S.1 '!$C$3</definedName>
    <definedName name="_WAEH" localSheetId="21">'Teil I - S.1 '!$C$3</definedName>
    <definedName name="_WAEH">'Teil I - S.1 '!$C$3</definedName>
    <definedName name="_XX01" localSheetId="20">#REF!</definedName>
    <definedName name="_XX01" localSheetId="21">#REF!</definedName>
    <definedName name="_XX01">#REF!</definedName>
    <definedName name="_XX02" localSheetId="20">#REF!</definedName>
    <definedName name="_XX02" localSheetId="21">#REF!</definedName>
    <definedName name="_XX02">#REF!</definedName>
    <definedName name="_XX03" localSheetId="20">#REF!</definedName>
    <definedName name="_XX03" localSheetId="21">#REF!</definedName>
    <definedName name="_XX03">#REF!</definedName>
    <definedName name="_XX04" localSheetId="20">#REF!</definedName>
    <definedName name="_XX04" localSheetId="21">#REF!</definedName>
    <definedName name="_XX04">#REF!</definedName>
    <definedName name="_XX05" localSheetId="20">'Teil I - S.4'!$K$35</definedName>
    <definedName name="_XX05" localSheetId="21">'Teil I - S.4'!$K$35</definedName>
    <definedName name="_XX05">'Teil I - S.4'!$K$35</definedName>
    <definedName name="_XX06" localSheetId="20">'Teil I - S.4'!$K$36</definedName>
    <definedName name="_XX06" localSheetId="21">'Teil I - S.4'!$K$36</definedName>
    <definedName name="_XX06">'Teil I - S.4'!$K$36</definedName>
    <definedName name="_XX07" localSheetId="20">'Teil I - S.4'!$K$37</definedName>
    <definedName name="_XX07" localSheetId="21">'Teil I - S.4'!$K$37</definedName>
    <definedName name="_XX07">'Teil I - S.4'!$K$37</definedName>
    <definedName name="_XX08" localSheetId="20">'Teil I - S.5'!$D$9</definedName>
    <definedName name="_XX08" localSheetId="21">'Teil I - S.5'!$D$9</definedName>
    <definedName name="_XX08">'Teil I - S.5'!$D$9</definedName>
    <definedName name="_XX09" localSheetId="20">'Teil I - S.5'!$D$10</definedName>
    <definedName name="_XX09" localSheetId="21">'Teil I - S.5'!$D$10</definedName>
    <definedName name="_XX09">'Teil I - S.5'!$D$10</definedName>
    <definedName name="_XX10" localSheetId="20">'Teil I - S.5'!$D$11</definedName>
    <definedName name="_XX10" localSheetId="21">'Teil I - S.5'!$D$11</definedName>
    <definedName name="_XX10">'Teil I - S.5'!$D$11</definedName>
    <definedName name="_XX11" localSheetId="20">'Teil I - S.5'!$D$23</definedName>
    <definedName name="_XX11" localSheetId="21">'Teil I - S.5'!$D$23</definedName>
    <definedName name="_XX11">'Teil I - S.5'!$D$23</definedName>
    <definedName name="_XX12" localSheetId="20">'Teil I - S.5'!$D$24</definedName>
    <definedName name="_XX12" localSheetId="21">'Teil I - S.5'!$D$24</definedName>
    <definedName name="_XX12">'Teil I - S.5'!$D$24</definedName>
    <definedName name="_XX13" localSheetId="20">'Teil I - S.6'!$D$29</definedName>
    <definedName name="_XX13" localSheetId="21">'Teil I - S.6'!$D$29</definedName>
    <definedName name="_XX13">'Teil I - S.6'!$D$29</definedName>
    <definedName name="_XX14" localSheetId="20">'Teil I - S.7'!$D$6</definedName>
    <definedName name="_XX14" localSheetId="21">'Teil I - S.7'!$D$6</definedName>
    <definedName name="_XX14">'Teil I - S.7'!$D$6</definedName>
    <definedName name="_XX15" localSheetId="20">'Teil I - S.7'!$D$19</definedName>
    <definedName name="_XX15" localSheetId="21">'Teil I - S.7'!$D$19</definedName>
    <definedName name="_XX15">'Teil I - S.7'!$D$19</definedName>
    <definedName name="_XX16" localSheetId="20">'Teil I - S.7'!$D$21</definedName>
    <definedName name="_XX16" localSheetId="21">'Teil I - S.7'!$D$21</definedName>
    <definedName name="_XX16">'Teil I - S.7'!$D$21</definedName>
    <definedName name="_XX17" localSheetId="20">'Teil I - S.7'!$D$41</definedName>
    <definedName name="_XX17" localSheetId="21">'Teil I - S.7'!$D$41</definedName>
    <definedName name="_XX17">'Teil I - S.7'!$D$41</definedName>
    <definedName name="_XX18" localSheetId="20">'Teil I - S.8'!$D$27</definedName>
    <definedName name="_XX18" localSheetId="21">'Teil I - S.8'!$D$27</definedName>
    <definedName name="_XX18">'Teil I - S.8'!$D$27</definedName>
    <definedName name="_XX19" localSheetId="20">'Teil II'!$D$12</definedName>
    <definedName name="_XX19" localSheetId="21">'Teil II'!$D$12</definedName>
    <definedName name="_XX19">'Teil II'!$D$12</definedName>
    <definedName name="_XX20" localSheetId="20">'Teil I - S.8'!$D$49</definedName>
    <definedName name="_XX20" localSheetId="21">'Teil I - S.8'!$D$49</definedName>
    <definedName name="_XX20">'Teil I - S.8'!$D$49</definedName>
    <definedName name="_XX21" localSheetId="20">'Teil I - S.8'!$D$79</definedName>
    <definedName name="_XX21" localSheetId="21">'Teil I - S.8'!$D$79</definedName>
    <definedName name="_XX21">'Teil I - S.8'!$D$79</definedName>
    <definedName name="_XX22" localSheetId="20">'Teil I - S.8'!$D$82</definedName>
    <definedName name="_XX22" localSheetId="21">'Teil I - S.8'!$D$82</definedName>
    <definedName name="_XX22">'Teil I - S.8'!$D$82</definedName>
    <definedName name="_XX23" localSheetId="20">'Teil I - S.8'!$D$83</definedName>
    <definedName name="_XX23" localSheetId="21">'Teil I - S.8'!$D$83</definedName>
    <definedName name="_XX23">'Teil I - S.8'!$D$83</definedName>
    <definedName name="_XX24" localSheetId="20">'Teil I - S.9'!$D$14</definedName>
    <definedName name="_XX24" localSheetId="21">'Teil I - S.9'!$D$14</definedName>
    <definedName name="_XX24">'Teil I - S.9'!$D$14</definedName>
    <definedName name="_XX25" localSheetId="20">'Teil I - S.9'!$D$26</definedName>
    <definedName name="_XX25" localSheetId="21">'Teil I - S.9'!$D$26</definedName>
    <definedName name="_XX25">'Teil I - S.9'!$D$26</definedName>
    <definedName name="_XX26" localSheetId="20">'Teil I - S.9'!$D$33</definedName>
    <definedName name="_XX26" localSheetId="21">'Teil I - S.9'!$D$33</definedName>
    <definedName name="_XX26">'Teil I - S.9'!$D$33</definedName>
    <definedName name="_XX27" localSheetId="20">'Teil I - S.9'!$D$34</definedName>
    <definedName name="_XX27" localSheetId="21">'Teil I - S.9'!$D$34</definedName>
    <definedName name="_XX27">'Teil I - S.9'!$D$34</definedName>
    <definedName name="_XX28" localSheetId="20">'Teil I - S.9'!$D$35</definedName>
    <definedName name="_XX28" localSheetId="21">'Teil I - S.9'!$D$35</definedName>
    <definedName name="_XX28">'Teil I - S.9'!$D$35</definedName>
    <definedName name="_XX29" localSheetId="20">'Teil II'!$D$36</definedName>
    <definedName name="_XX29" localSheetId="21">'Teil II'!$D$36</definedName>
    <definedName name="_XX29">'Teil II'!$D$36</definedName>
    <definedName name="_XX30" localSheetId="20">'Teil II'!$D$41</definedName>
    <definedName name="_XX30" localSheetId="21">'Teil II'!$D$41</definedName>
    <definedName name="_XX30">'Teil II'!$D$41</definedName>
    <definedName name="_XX31" localSheetId="20">'Teil II'!$D$42</definedName>
    <definedName name="_XX31" localSheetId="21">'Teil II'!$D$42</definedName>
    <definedName name="_XX31">'Teil II'!$D$42</definedName>
    <definedName name="_XX32" localSheetId="20">'Teil II'!$D$43</definedName>
    <definedName name="_XX32" localSheetId="21">'Teil II'!$D$43</definedName>
    <definedName name="_XX32">'Teil II'!$D$43</definedName>
    <definedName name="_XX33" localSheetId="20">'Teil II'!$D$46</definedName>
    <definedName name="_XX33" localSheetId="21">'Teil II'!$D$46</definedName>
    <definedName name="_XX33">'Teil II'!$D$46</definedName>
    <definedName name="_XX34" localSheetId="20">'Teil II'!$D$49</definedName>
    <definedName name="_XX34" localSheetId="21">'Teil II'!$D$49</definedName>
    <definedName name="_XX34">'Teil II'!$D$49</definedName>
    <definedName name="_XX35" localSheetId="20">'Teil II'!$D$52</definedName>
    <definedName name="_XX35" localSheetId="21">'Teil II'!$D$52</definedName>
    <definedName name="_XX35">'Teil II'!$D$52</definedName>
    <definedName name="_XX40" localSheetId="20">'Teil I - S.7'!$D$18</definedName>
    <definedName name="_XX40" localSheetId="21">'Teil I - S.7'!$D$18</definedName>
    <definedName name="_XX40">'Teil I - S.7'!$D$18</definedName>
    <definedName name="_XX41" localSheetId="20">'Teil I - S.7'!$D$20</definedName>
    <definedName name="_XX41" localSheetId="21">'Teil I - S.7'!$D$20</definedName>
    <definedName name="_XX41">'Teil I - S.7'!$D$20</definedName>
    <definedName name="_XX42" localSheetId="20">'Teil I - S.7'!#REF!</definedName>
    <definedName name="_XX42" localSheetId="21">'Teil I - S.7'!#REF!</definedName>
    <definedName name="_XX42">'Teil I - S.7'!#REF!</definedName>
    <definedName name="_XX43" localSheetId="20">'Teil I - S.8'!$D$17</definedName>
    <definedName name="_XX43" localSheetId="21">'Teil I - S.8'!$D$17</definedName>
    <definedName name="_XX43">'Teil I - S.8'!$D$17</definedName>
    <definedName name="_XX44" localSheetId="20">'Teil I - S.8'!$D$18</definedName>
    <definedName name="_XX44" localSheetId="21">'Teil I - S.8'!$D$18</definedName>
    <definedName name="_XX44">'Teil I - S.8'!$D$18</definedName>
    <definedName name="_XX45" localSheetId="20">'Teil I - S.8'!$D$24</definedName>
    <definedName name="_XX45" localSheetId="21">'Teil I - S.8'!$D$24</definedName>
    <definedName name="_XX45">'Teil I - S.8'!$D$24</definedName>
    <definedName name="_XX46" localSheetId="20">'Teil I - S.8'!$D$20</definedName>
    <definedName name="_XX46" localSheetId="21">'Teil I - S.8'!$D$20</definedName>
    <definedName name="_XX46">'Teil I - S.8'!$D$20</definedName>
    <definedName name="_XX47" localSheetId="20">'Teil I - S.8'!$D$21</definedName>
    <definedName name="_XX47" localSheetId="21">'Teil I - S.8'!$D$21</definedName>
    <definedName name="_XX47">'Teil I - S.8'!$D$21</definedName>
    <definedName name="_XX48" localSheetId="20">'Teil I - S.8'!$D$22</definedName>
    <definedName name="_XX48" localSheetId="21">'Teil I - S.8'!$D$22</definedName>
    <definedName name="_XX48">'Teil I - S.8'!$D$22</definedName>
    <definedName name="_XX49" localSheetId="20">'Teil I - S.8'!$D$77</definedName>
    <definedName name="_XX49" localSheetId="21">'Teil I - S.8'!$D$77</definedName>
    <definedName name="_XX49">'Teil I - S.8'!$D$77</definedName>
    <definedName name="_XX50" localSheetId="20">'Teil I - S.9'!$D$32</definedName>
    <definedName name="_XX50" localSheetId="21">'Teil I - S.9'!$D$32</definedName>
    <definedName name="_XX50">'Teil I - S.9'!$D$32</definedName>
    <definedName name="_XX60" localSheetId="20">'Teil I - S.8'!$D$78</definedName>
    <definedName name="_XX60" localSheetId="21">'Teil I - S.8'!$D$78</definedName>
    <definedName name="_XX60">'Teil I - S.8'!$D$78</definedName>
    <definedName name="_XY01" localSheetId="20">#REF!</definedName>
    <definedName name="_XY01" localSheetId="21">#REF!</definedName>
    <definedName name="_XY01">#REF!</definedName>
    <definedName name="_XY02" localSheetId="20">#REF!</definedName>
    <definedName name="_XY02" localSheetId="21">#REF!</definedName>
    <definedName name="_XY02">#REF!</definedName>
    <definedName name="_XY03" localSheetId="20">#REF!</definedName>
    <definedName name="_XY03" localSheetId="21">#REF!</definedName>
    <definedName name="_XY03">#REF!</definedName>
    <definedName name="_XY04" localSheetId="20">#REF!</definedName>
    <definedName name="_XY04" localSheetId="21">#REF!</definedName>
    <definedName name="_XY04">#REF!</definedName>
    <definedName name="_XY05" localSheetId="20">#REF!</definedName>
    <definedName name="_XY05" localSheetId="21">#REF!</definedName>
    <definedName name="_XY05">#REF!</definedName>
    <definedName name="_Z02">Kennzahlen!$E$138</definedName>
    <definedName name="_Z03">Kennzahlen!$E$139</definedName>
    <definedName name="_Z04">Kennzahlen!$E$140</definedName>
    <definedName name="_Z05">Kennzahlen!$E$142</definedName>
    <definedName name="_Z06">Kennzahlen!$E$143</definedName>
    <definedName name="_Z07">Kennzahlen!$E$144</definedName>
    <definedName name="_Z08">Kennzahlen!$E$145</definedName>
    <definedName name="_Z09">Kennzahlen!$E$146</definedName>
    <definedName name="_Z10">Kennzahlen!$E$149</definedName>
    <definedName name="_Z11">Kennzahlen!$E$150</definedName>
    <definedName name="_Z12">Kennzahlen!$E$151</definedName>
    <definedName name="_Z13">Kennzahlen!$E$152</definedName>
    <definedName name="_Z14">Kennzahlen!$E$153</definedName>
    <definedName name="_Z14A" localSheetId="20">Kennzahlen!#REF!</definedName>
    <definedName name="_Z14A" localSheetId="21">Kennzahlen!#REF!</definedName>
    <definedName name="_Z14A">Kennzahlen!#REF!</definedName>
    <definedName name="_Z15">Kennzahlen!$E$155</definedName>
    <definedName name="_Z15A">Kennzahlen!$E$156</definedName>
    <definedName name="_Z16">Kennzahlen!$E$157</definedName>
    <definedName name="_Z17" localSheetId="20">Kennzahlen!$E$158</definedName>
    <definedName name="_Z17" localSheetId="21">Kennzahlen!$E$158</definedName>
    <definedName name="_Z17">Kennzahlen!$E$158</definedName>
    <definedName name="_Z18" localSheetId="20">Kennzahlen!$E$159</definedName>
    <definedName name="_Z18" localSheetId="21">Kennzahlen!$E$159</definedName>
    <definedName name="_Z18">Kennzahlen!$E$159</definedName>
    <definedName name="_Z18A">Kennzahlen!$E$160</definedName>
    <definedName name="_Z18B">Kennzahlen!$E$161</definedName>
    <definedName name="_Z18C" localSheetId="20">Kennzahlen!#REF!</definedName>
    <definedName name="_Z18C" localSheetId="21">Kennzahlen!#REF!</definedName>
    <definedName name="_Z18C">Kennzahlen!#REF!</definedName>
    <definedName name="_Z19">Kennzahlen!$E$166</definedName>
    <definedName name="_Z20">Kennzahlen!$E$169</definedName>
    <definedName name="_Z21">Kennzahlen!$E$170</definedName>
    <definedName name="_Z22">Kennzahlen!$E$171</definedName>
    <definedName name="_Z23" localSheetId="20">Kennzahlen!$E$172</definedName>
    <definedName name="_Z23" localSheetId="21">Kennzahlen!$E$172</definedName>
    <definedName name="_Z23">Kennzahlen!$E$172</definedName>
    <definedName name="_Z24">Kennzahlen!$E$175</definedName>
    <definedName name="_Z25">Kennzahlen!$E$176</definedName>
    <definedName name="_Z26">Kennzahlen!$E$177</definedName>
    <definedName name="_ZA01" localSheetId="20">'Teil I - S.9'!$D$8</definedName>
    <definedName name="_ZA01" localSheetId="21">'Teil I - S.9'!$D$8</definedName>
    <definedName name="_ZA01">'Teil I - S.9'!$D$8</definedName>
    <definedName name="_ZA02" localSheetId="20">'Teil I - S.9'!$D$9</definedName>
    <definedName name="_ZA02" localSheetId="21">'Teil I - S.9'!$D$9</definedName>
    <definedName name="_ZA02">'Teil I - S.9'!$D$9</definedName>
    <definedName name="_ZA03" localSheetId="20">'Teil I - S.9'!$D$10</definedName>
    <definedName name="_ZA03" localSheetId="21">'Teil I - S.9'!$D$10</definedName>
    <definedName name="_ZA03">'Teil I - S.9'!$D$10</definedName>
    <definedName name="_ZA04" localSheetId="20">'Teil I - S.9'!$D$11</definedName>
    <definedName name="_ZA04" localSheetId="21">'Teil I - S.9'!$D$11</definedName>
    <definedName name="_ZA04">'Teil I - S.9'!$D$11</definedName>
    <definedName name="_ZA05" localSheetId="20">'Teil I - S.9'!$D$12</definedName>
    <definedName name="_ZA05" localSheetId="21">'Teil I - S.9'!$D$12</definedName>
    <definedName name="_ZA05">'Teil I - S.9'!$D$12</definedName>
    <definedName name="_ZA06">'Teil I - S.9'!$D$13</definedName>
    <definedName name="_ZA10" localSheetId="20">'Teil I - S.9'!$D$3</definedName>
    <definedName name="_ZA10" localSheetId="21">'Teil I - S.9'!$D$3</definedName>
    <definedName name="_ZA10">'Teil I - S.9'!$D$3</definedName>
    <definedName name="_ZE10" localSheetId="20">'Teil I - S.7'!$D$53</definedName>
    <definedName name="_ZE10" localSheetId="21">'Teil I - S.7'!$D$53</definedName>
    <definedName name="_ZE10">'Teil I - S.7'!$D$53</definedName>
    <definedName name="_ZH10" localSheetId="20">'Teil I - S.9'!$D$17</definedName>
    <definedName name="_ZH10" localSheetId="21">'Teil I - S.9'!$D$17</definedName>
    <definedName name="_ZH10">'Teil I - S.9'!$D$17</definedName>
    <definedName name="_ZR10" localSheetId="20">'Teil I - S.4'!#REF!</definedName>
    <definedName name="_ZR10" localSheetId="21">'Teil I - S.4'!#REF!</definedName>
    <definedName name="_ZR10">'Teil I - S.4'!#REF!</definedName>
    <definedName name="_ZS10" localSheetId="20">'Teil I - S.4'!$E$27</definedName>
    <definedName name="_ZS10" localSheetId="21">'Teil I - S.4'!$E$27</definedName>
    <definedName name="_ZS10">'Teil I - S.4'!$E$27</definedName>
    <definedName name="_ZS11" localSheetId="20">'Teil I - S.4'!#REF!</definedName>
    <definedName name="_ZS11" localSheetId="21">'Teil I - S.4'!#REF!</definedName>
    <definedName name="_ZS11">'Teil I - S.4'!#REF!</definedName>
    <definedName name="_ZW10" localSheetId="20">'Teil I - S.8'!$D$87</definedName>
    <definedName name="_ZW10" localSheetId="21">'Teil I - S.8'!$D$87</definedName>
    <definedName name="_ZW10">'Teil I - S.8'!$D$87</definedName>
    <definedName name="BILF">'Teil I - S.1 '!$H$50</definedName>
    <definedName name="CsKz01" localSheetId="20">Kennzahlen!$K$178</definedName>
    <definedName name="CsKz01" localSheetId="21">Kennzahlen!$K$178</definedName>
    <definedName name="CsKz01">Kennzahlen!$K$178</definedName>
    <definedName name="_xlnm.Print_Area" localSheetId="13">Handbuch!$A$1:$F$203</definedName>
    <definedName name="_xlnm.Print_Area" localSheetId="12">Kennzahlen!$B$2:$E$177</definedName>
    <definedName name="_xlnm.Print_Area" localSheetId="15">Kontrolle!$B$2:$J$58</definedName>
    <definedName name="_xlnm.Print_Area" localSheetId="14">'Management Summary'!$A$1:$G$56</definedName>
    <definedName name="_xlnm.Print_Area" localSheetId="10">'Teil AGW'!$A$1:$F$33</definedName>
    <definedName name="_xlnm.Print_Area" localSheetId="0">'Teil I - S.1 '!$B$1:$I$110</definedName>
    <definedName name="_xlnm.Print_Area" localSheetId="1">'Teil I - S.2'!$B$1:$H$60</definedName>
    <definedName name="_xlnm.Print_Area" localSheetId="2">'Teil I - S.3'!$B$1:$E$59</definedName>
    <definedName name="_xlnm.Print_Area" localSheetId="3">'Teil I - S.4'!$B$1:$L$46</definedName>
    <definedName name="_xlnm.Print_Area" localSheetId="4">'Teil I - S.5'!$B$1:$E$48</definedName>
    <definedName name="_xlnm.Print_Area" localSheetId="5">'Teil I - S.6'!$B$1:$E$46</definedName>
    <definedName name="_xlnm.Print_Area" localSheetId="6">'Teil I - S.7'!$B$1:$E$53</definedName>
    <definedName name="_xlnm.Print_Area" localSheetId="7">'Teil I - S.8'!$B$2:$E$87</definedName>
    <definedName name="_xlnm.Print_Area" localSheetId="8">'Teil I - S.9'!$B$2:$E$44</definedName>
    <definedName name="_xlnm.Print_Area" localSheetId="9">'Teil II'!$A$1:$E$86</definedName>
    <definedName name="_xlnm.Print_Titles" localSheetId="13">Handbuch!$1:$4</definedName>
    <definedName name="_xlnm.Print_Titles" localSheetId="12">Kennzahlen!$2:$7</definedName>
    <definedName name="VE11Konto37">'[1]VE 11'!$F$58</definedName>
    <definedName name="VE11Konto76">'[1]VE 11'!$F$14</definedName>
    <definedName name="VE11Konto77">'[1]VE 11'!$F$39</definedName>
    <definedName name="VE11Konto79">'[1]VE 11'!$F$51</definedName>
    <definedName name="VE11Summe">'[1]VE 11'!$F$60</definedName>
    <definedName name="VE12Konto37">'[1]VE 12'!$F$58</definedName>
    <definedName name="VE12Konto76">'[1]VE 12'!$F$14</definedName>
    <definedName name="VE12Konto77">'[1]VE 12'!$F$39</definedName>
    <definedName name="VE12Konto79">'[1]VE 12'!$F$51</definedName>
    <definedName name="VE12Summe">'[1]VE 12'!$F$60</definedName>
    <definedName name="VE13Konto37">'[1]VE 13'!$F$58</definedName>
    <definedName name="VE13Konto76">'[1]VE 13'!$F$14</definedName>
    <definedName name="VE13Konto77">'[1]VE 13'!$F$39</definedName>
    <definedName name="VE13Konto79">'[1]VE 13'!$F$51</definedName>
    <definedName name="VE13Summe">'[1]VE 13'!$F$60</definedName>
    <definedName name="VE14Konto37">'[1]VE 14'!$F$58</definedName>
    <definedName name="VE14Konto76">'[1]VE 14'!$F$14</definedName>
    <definedName name="VE14Konto77">'[1]VE 14'!$F$39</definedName>
    <definedName name="VE14Konto79">'[1]VE 14'!$F$51</definedName>
    <definedName name="VE14Summe">'[1]VE 14'!$F$60</definedName>
    <definedName name="VE15Konto37">'[1]VE 15'!$F$58</definedName>
    <definedName name="VE15Konto76">'[1]VE 15'!$F$14</definedName>
    <definedName name="VE15Konto77">'[1]VE 15'!$F$39</definedName>
    <definedName name="VE15Konto79">'[1]VE 15'!$F$51</definedName>
    <definedName name="VE15Summe">'[1]VE 15'!$F$60</definedName>
    <definedName name="VE16Konto37">'[1]VE 16'!$F$58</definedName>
    <definedName name="VE16Konto76">'[1]VE 16'!$F$14</definedName>
    <definedName name="VE16Konto77">'[1]VE 16'!$F$39</definedName>
    <definedName name="VE16Konto79">'[1]VE 16'!$F$51</definedName>
    <definedName name="VE16Summe">'[1]VE 16'!$F$60</definedName>
    <definedName name="VE17Konto37">'[1]VE 17'!$F$58</definedName>
    <definedName name="VE17Konto76">'[1]VE 17'!$F$14</definedName>
    <definedName name="VE17Konto77">'[1]VE 17'!$F$39</definedName>
    <definedName name="VE17Konto79">'[1]VE 17'!$F$51</definedName>
    <definedName name="VE17Summe">'[1]VE 17'!$F$60</definedName>
    <definedName name="VE18Konto37">'[1]VE 18'!$F$58</definedName>
    <definedName name="VE18Konto76">'[1]VE 18'!$F$14</definedName>
    <definedName name="VE18Konto77">'[1]VE 18'!$F$39</definedName>
    <definedName name="VE18Konto79">'[1]VE 18'!$F$51</definedName>
    <definedName name="VE18Summe">'[1]VE 18'!$F$60</definedName>
    <definedName name="VE19Konto37">'[1]VE 19'!$F$58</definedName>
    <definedName name="VE19Konto76">'[1]VE 19'!$F$14</definedName>
    <definedName name="VE19Konto77">'[1]VE 19'!$F$39</definedName>
    <definedName name="VE19Konto79">'[1]VE 19'!$F$51</definedName>
    <definedName name="VE19Summe">'[1]VE 19'!$F$60</definedName>
    <definedName name="VE1Konto37">'[1]VE 1'!$F$58</definedName>
    <definedName name="VE1Konto76">'[1]VE 1'!$F$14</definedName>
    <definedName name="VE1Konto77">'[1]VE 1'!$F$39</definedName>
    <definedName name="VE1Konto79">'[1]VE 1'!$F$51</definedName>
    <definedName name="VE1Summe">'[1]VE 1'!$F$60</definedName>
    <definedName name="VE20Konto37">'[1]VE 20'!$F$58</definedName>
    <definedName name="VE20Konto76">'[1]VE 20'!$F$14</definedName>
    <definedName name="VE20Konto77">'[1]VE 20'!$F$39</definedName>
    <definedName name="VE20Konto79">'[1]VE 20'!$F$51</definedName>
    <definedName name="VE20Summe">'[1]VE 20'!$F$60</definedName>
    <definedName name="VE21Konto37">'[1]VE 21'!$F$58</definedName>
    <definedName name="VE21Konto76">'[1]VE 21'!$F$14</definedName>
    <definedName name="VE21Konto77">'[1]VE 21'!$F$39</definedName>
    <definedName name="VE21Konto79">'[1]VE 21'!$F$51</definedName>
    <definedName name="VE21Summe">'[1]VE 21'!$F$60</definedName>
    <definedName name="VE22Konto37">'[1]VE 22'!$F$58</definedName>
    <definedName name="VE22Konto76">'[1]VE 22'!$F$14</definedName>
    <definedName name="VE22Konto77">'[1]VE 22'!$F$39</definedName>
    <definedName name="VE22Konto79">'[1]VE 22'!$F$51</definedName>
    <definedName name="VE22Summe">'[1]VE 22'!$F$60</definedName>
    <definedName name="VE23Konto37">'[1]VE 23'!$F$58</definedName>
    <definedName name="VE23Konto76">'[1]VE 23'!$F$14</definedName>
    <definedName name="VE23Konto77">'[1]VE 23'!$F$39</definedName>
    <definedName name="VE23Konto79">'[1]VE 23'!$F$51</definedName>
    <definedName name="VE23Summe">'[1]VE 23'!$F$60</definedName>
    <definedName name="VE24Konto37">'[1]VE 24'!$F$58</definedName>
    <definedName name="VE24Konto76">'[1]VE 24'!$F$14</definedName>
    <definedName name="VE24Konto77">'[1]VE 24'!$F$39</definedName>
    <definedName name="VE24Konto79">'[1]VE 24'!$F$51</definedName>
    <definedName name="VE24Summe">'[1]VE 24'!$F$60</definedName>
    <definedName name="VE25Konto37">'[1]VE 25'!$F$58</definedName>
    <definedName name="VE25Konto76">'[1]VE 25'!$F$14</definedName>
    <definedName name="VE25Konto77">'[1]VE 25'!$F$39</definedName>
    <definedName name="VE25Konto79">'[1]VE 25'!$F$51</definedName>
    <definedName name="VE25Summe">'[1]VE 25'!$F$60</definedName>
    <definedName name="VE26Konto37">'[1]VE 26'!$F$58</definedName>
    <definedName name="VE26Konto76">'[1]VE 26'!$F$14</definedName>
    <definedName name="VE26Konto77">'[1]VE 26'!$F$39</definedName>
    <definedName name="VE26Konto79">'[1]VE 26'!$F$51</definedName>
    <definedName name="VE26Summe">'[1]VE 26'!$F$60</definedName>
    <definedName name="VE27Konto37">'[1]VE 27'!$F$58</definedName>
    <definedName name="VE27Konto76">'[1]VE 27'!$F$14</definedName>
    <definedName name="VE27Konto77">'[1]VE 27'!$F$39</definedName>
    <definedName name="VE27Konto79">'[1]VE 27'!$F$51</definedName>
    <definedName name="VE27Summe">'[1]VE 27'!$F$60</definedName>
    <definedName name="VE28Konto37">'[1]VE 28'!$F$58</definedName>
    <definedName name="VE28Konto76">'[1]VE 28'!$F$14</definedName>
    <definedName name="VE28Konto77">'[1]VE 28'!$F$39</definedName>
    <definedName name="VE28Konto79">'[1]VE 28'!$F$51</definedName>
    <definedName name="VE28Summe">'[1]VE 28'!$F$60</definedName>
    <definedName name="VE29Konto37">'[1]VE 29'!$F$58</definedName>
    <definedName name="VE29Konto76">'[1]VE 29'!$F$14</definedName>
    <definedName name="VE29Konto77">'[1]VE 29'!$F$39</definedName>
    <definedName name="VE29Konto79">'[1]VE 29'!$F$51</definedName>
    <definedName name="VE29Summe">'[1]VE 29'!$F$60</definedName>
    <definedName name="VE2Konto37">'[1]VE 2'!$F$58</definedName>
    <definedName name="VE2Konto76">'[1]VE 2'!$F$14</definedName>
    <definedName name="VE2Konto77">'[1]VE 2'!$F$39</definedName>
    <definedName name="VE2Konto79">'[1]VE 2'!$F$51</definedName>
    <definedName name="VE2Summe">'[1]VE 2'!$F$60</definedName>
    <definedName name="VE30Konto37">'[1]VE 30'!$F$58</definedName>
    <definedName name="VE30Konto76">'[1]VE 30'!$F$14</definedName>
    <definedName name="VE30Konto77">'[1]VE 30'!$F$39</definedName>
    <definedName name="VE30Konto79">'[1]VE 30'!$F$51</definedName>
    <definedName name="VE30Summe">'[1]VE 30'!$F$60</definedName>
    <definedName name="VE31Konto37">'[1]VE 31'!$F$58</definedName>
    <definedName name="VE31Konto76">'[1]VE 31'!$F$14</definedName>
    <definedName name="VE31Konto77">'[1]VE 31'!$F$39</definedName>
    <definedName name="VE31Konto79">'[1]VE 31'!$F$51</definedName>
    <definedName name="VE31Summe">'[1]VE 31'!$F$60</definedName>
    <definedName name="VE32Konto37">'[1]VE 32'!$F$58</definedName>
    <definedName name="VE32Konto76">'[1]VE 32'!$F$14</definedName>
    <definedName name="VE32Konto77">'[1]VE 32'!$F$39</definedName>
    <definedName name="VE32Konto79">'[1]VE 32'!$F$51</definedName>
    <definedName name="VE32Summe">'[1]VE 32'!$F$60</definedName>
    <definedName name="VE33Konto37">'[1]VE 33'!$F$58</definedName>
    <definedName name="VE33Konto76">'[1]VE 33'!$F$14</definedName>
    <definedName name="VE33Konto77">'[1]VE 33'!$F$39</definedName>
    <definedName name="VE33Konto79">'[1]VE 33'!$F$51</definedName>
    <definedName name="VE33Summe">'[1]VE 33'!$F$60</definedName>
    <definedName name="VE34Konto37">'[1]VE 34'!$F$58</definedName>
    <definedName name="VE34Konto76">'[1]VE 34'!$F$14</definedName>
    <definedName name="VE34Konto77">'[1]VE 34'!$F$39</definedName>
    <definedName name="VE34Konto79">'[1]VE 34'!$F$51</definedName>
    <definedName name="VE34Summe">'[1]VE 34'!$F$60</definedName>
    <definedName name="VE35Konto37">'[1]VE 35'!$F$58</definedName>
    <definedName name="VE35Konto76">'[1]VE 35'!$F$14</definedName>
    <definedName name="VE35Konto77">'[1]VE 35'!$F$39</definedName>
    <definedName name="VE35Konto79">'[1]VE 35'!$F$51</definedName>
    <definedName name="VE35Summe">'[1]VE 35'!$F$60</definedName>
    <definedName name="VE36Konto37">'[1]VE 36'!$F$58</definedName>
    <definedName name="VE36Konto76">'[1]VE 36'!$F$14</definedName>
    <definedName name="VE36Konto77">'[1]VE 36'!$F$39</definedName>
    <definedName name="VE36Konto79">'[1]VE 36'!$F$51</definedName>
    <definedName name="VE36Summe">'[1]VE 36'!$F$60</definedName>
    <definedName name="VE37Konto37">'[1]VE 37'!$F$58</definedName>
    <definedName name="VE37Konto76">'[1]VE 37'!$F$14</definedName>
    <definedName name="VE37Konto77">'[1]VE 37'!$F$39</definedName>
    <definedName name="VE37Konto79">'[1]VE 37'!$F$51</definedName>
    <definedName name="VE37Summe">'[1]VE 37'!$F$60</definedName>
    <definedName name="VE38Konto37">'[1]VE 38'!$F$58</definedName>
    <definedName name="VE38Konto76">'[1]VE 38'!$F$14</definedName>
    <definedName name="VE38Konto77">'[1]VE 38'!$F$39</definedName>
    <definedName name="VE38Konto79">'[1]VE 38'!$F$51</definedName>
    <definedName name="VE38Summe">'[1]VE 38'!$F$60</definedName>
    <definedName name="VE39Konto37">'[1]VE 39'!$F$58</definedName>
    <definedName name="VE39Konto76">'[1]VE 39'!$F$14</definedName>
    <definedName name="VE39Konto77">'[1]VE 39'!$F$39</definedName>
    <definedName name="VE39Konto79">'[1]VE 39'!$F$51</definedName>
    <definedName name="VE39Summe">'[1]VE 39'!$F$60</definedName>
    <definedName name="VE40Konto37">'[1]VE 40'!$F$58</definedName>
    <definedName name="VE40Konto76">'[1]VE 40'!$F$14</definedName>
    <definedName name="VE40Konto77">'[1]VE 40'!$F$39</definedName>
    <definedName name="VE40Konto79">'[1]VE 40'!$F$51</definedName>
    <definedName name="VE40Summe">'[1]VE 40'!$F$60</definedName>
    <definedName name="VE41Konto37">'[1]VE 41'!$F$58</definedName>
    <definedName name="VE41Konto76">'[1]VE 41'!$F$14</definedName>
    <definedName name="VE41Konto77">'[1]VE 41'!$F$39</definedName>
    <definedName name="VE41Konto79">'[1]VE 41'!$F$51</definedName>
    <definedName name="VE41Summe">'[1]VE 41'!$F$60</definedName>
    <definedName name="VE42Konto37">'[1]VE 42'!$F$58</definedName>
    <definedName name="VE42Konto76">'[1]VE 42'!$F$14</definedName>
    <definedName name="VE42Konto77">'[1]VE 42'!$F$39</definedName>
    <definedName name="VE42Konto79">'[1]VE 42'!$F$51</definedName>
    <definedName name="VE42Summe">'[1]VE 42'!$F$60</definedName>
    <definedName name="VE43Konto37">'[1]VE 43'!$F$58</definedName>
    <definedName name="VE43Konto76">'[1]VE 43'!$F$14</definedName>
    <definedName name="VE43Konto77">'[1]VE 43'!$F$39</definedName>
    <definedName name="VE43Konto79">'[1]VE 43'!$F$51</definedName>
    <definedName name="VE43Summe">'[1]VE 43'!$F$60</definedName>
    <definedName name="VE44Konto37">'[1]VE 44'!$F$58</definedName>
    <definedName name="VE44Konto76">'[1]VE 44'!$F$14</definedName>
    <definedName name="VE44Konto77">'[1]VE 44'!$F$39</definedName>
    <definedName name="VE44Konto79">'[1]VE 44'!$F$51</definedName>
    <definedName name="VE44Summe">'[1]VE 44'!$F$60</definedName>
    <definedName name="VE45Konto37">'[1]VE 45'!$F$58</definedName>
    <definedName name="VE45Konto76">'[1]VE 45'!$F$14</definedName>
    <definedName name="VE45Konto77">'[1]VE 45'!$F$39</definedName>
    <definedName name="VE45Konto79">'[1]VE 45'!$F$51</definedName>
    <definedName name="VE45Summe">'[1]VE 45'!$F$60</definedName>
    <definedName name="VE46Konto37">'[1]VE 46'!$F$58</definedName>
    <definedName name="VE46Konto76">'[1]VE 46'!$F$14</definedName>
    <definedName name="VE46Konto77">'[1]VE 46'!$F$39</definedName>
    <definedName name="VE46Konto79">'[1]VE 46'!$F$51</definedName>
    <definedName name="VE46Summe">'[1]VE 46'!$F$60</definedName>
    <definedName name="VE47Konto37">'[1]VE 47'!$F$58</definedName>
    <definedName name="VE47Konto76">'[1]VE 47'!$F$14</definedName>
    <definedName name="VE47Konto77">'[1]VE 47'!$F$39</definedName>
    <definedName name="VE47Konto79">'[1]VE 47'!$F$51</definedName>
    <definedName name="VE47Summe">'[1]VE 47'!$F$60</definedName>
    <definedName name="VE48Konto37">'[1]VE 48'!$F$58</definedName>
    <definedName name="VE48Konto76">'[1]VE 48'!$F$14</definedName>
    <definedName name="VE48Konto77">'[1]VE 48'!$F$39</definedName>
    <definedName name="VE48Konto79">'[1]VE 48'!$F$51</definedName>
    <definedName name="VE48Summe">'[1]VE 48'!$F$60</definedName>
    <definedName name="VE49Konto37">'[1]VE 49'!$F$58</definedName>
    <definedName name="VE49Konto76">'[1]VE 49'!$F$14</definedName>
    <definedName name="VE49Konto77">'[1]VE 49'!$F$39</definedName>
    <definedName name="VE49Konto79">'[1]VE 49'!$F$51</definedName>
    <definedName name="VE49Summe">'[1]VE 49'!$F$60</definedName>
    <definedName name="VE50Konto37">'[1]VE 50'!$F$58</definedName>
    <definedName name="VE50Konto76">'[1]VE 50'!$F$14</definedName>
    <definedName name="VE50Konto77">'[1]VE 50'!$F$39</definedName>
    <definedName name="VE50Konto79">'[1]VE 50'!$F$51</definedName>
    <definedName name="VE50Summe">'[1]VE 50'!$F$60</definedName>
    <definedName name="VE51Konto37">'[1]VE 51'!$F$58</definedName>
    <definedName name="VE51Konto76">'[1]VE 51'!$F$14</definedName>
    <definedName name="VE51Konto77">'[1]VE 51'!$F$39</definedName>
    <definedName name="VE51Konto79">'[1]VE 51'!$F$51</definedName>
    <definedName name="VE51Summe">'[1]VE 51'!$F$60</definedName>
    <definedName name="VE52Konto37">'[1]VE 52'!$F$58</definedName>
    <definedName name="VE52Konto76">'[1]VE 52'!$F$14</definedName>
    <definedName name="VE52Konto77">'[1]VE 52'!$F$39</definedName>
    <definedName name="VE52Konto79">'[1]VE 52'!$F$51</definedName>
    <definedName name="VE52Summe">'[1]VE 52'!$F$60</definedName>
    <definedName name="VE53Konto37">'[1]VE 53'!$F$58</definedName>
    <definedName name="VE53Konto76">'[1]VE 53'!$F$14</definedName>
    <definedName name="VE53Konto77">'[1]VE 53'!$F$39</definedName>
    <definedName name="VE53Konto79">'[1]VE 53'!$F$51</definedName>
    <definedName name="VE53Summe">'[1]VE 53'!$F$60</definedName>
    <definedName name="VE7Konto37">'[1]VE 7'!$F$58</definedName>
    <definedName name="VE7Konto76">'[1]VE 7'!$F$14</definedName>
    <definedName name="VE7Konto77">'[1]VE 7'!$F$39</definedName>
    <definedName name="VE7Konto79">'[1]VE 7'!$F$51</definedName>
    <definedName name="VE7Summe">'[1]VE 7'!$F$60</definedName>
  </definedNames>
  <calcPr calcId="191029" iterate="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 i="3" l="1"/>
  <c r="D121" i="3"/>
  <c r="D257" i="5"/>
  <c r="B257" i="5"/>
  <c r="A257" i="5"/>
  <c r="D27" i="10"/>
  <c r="E39" i="3"/>
  <c r="D256" i="5"/>
  <c r="B256" i="5"/>
  <c r="A256" i="5"/>
  <c r="F30" i="15"/>
  <c r="D185" i="5" s="1"/>
  <c r="F44" i="22"/>
  <c r="C25" i="29"/>
  <c r="C83" i="29"/>
  <c r="D242" i="5"/>
  <c r="F24" i="25"/>
  <c r="D83" i="5"/>
  <c r="D253" i="5"/>
  <c r="E61" i="22"/>
  <c r="E101" i="3"/>
  <c r="D72" i="5"/>
  <c r="D66" i="5"/>
  <c r="E37" i="17"/>
  <c r="E36" i="17"/>
  <c r="D210" i="5"/>
  <c r="F28" i="16"/>
  <c r="F34" i="26"/>
  <c r="E50" i="3"/>
  <c r="J37" i="15"/>
  <c r="C36" i="29"/>
  <c r="G12" i="27"/>
  <c r="H12" i="27"/>
  <c r="C32" i="29"/>
  <c r="C81" i="29" s="1"/>
  <c r="C76" i="29"/>
  <c r="F29" i="24"/>
  <c r="E37" i="3"/>
  <c r="E36" i="3"/>
  <c r="D227" i="5"/>
  <c r="F28" i="22"/>
  <c r="D221" i="5"/>
  <c r="D106" i="5"/>
  <c r="D65" i="5"/>
  <c r="D133" i="5"/>
  <c r="D198" i="5"/>
  <c r="D83" i="10"/>
  <c r="D117" i="5"/>
  <c r="D110" i="5"/>
  <c r="D109" i="5"/>
  <c r="F54" i="23"/>
  <c r="F41" i="23"/>
  <c r="E14" i="26"/>
  <c r="D223" i="5"/>
  <c r="F23" i="25"/>
  <c r="D95" i="5"/>
  <c r="D94" i="5"/>
  <c r="F12" i="26"/>
  <c r="D247" i="5"/>
  <c r="C42" i="29"/>
  <c r="C80" i="29" s="1"/>
  <c r="C35" i="29"/>
  <c r="C85" i="29"/>
  <c r="C86" i="29"/>
  <c r="D236" i="5"/>
  <c r="D171" i="5"/>
  <c r="D169" i="5"/>
  <c r="D129" i="5"/>
  <c r="D128" i="5"/>
  <c r="D127" i="5"/>
  <c r="D159" i="5"/>
  <c r="D158" i="5"/>
  <c r="E14" i="24"/>
  <c r="D151" i="5"/>
  <c r="D150" i="5"/>
  <c r="D148" i="5"/>
  <c r="D143" i="5"/>
  <c r="D245" i="5"/>
  <c r="D87" i="5"/>
  <c r="E32" i="3"/>
  <c r="G41" i="27"/>
  <c r="F39" i="4"/>
  <c r="D82" i="5"/>
  <c r="B246" i="5"/>
  <c r="C70" i="29"/>
  <c r="D237" i="5"/>
  <c r="G11" i="2"/>
  <c r="D165" i="5"/>
  <c r="D124" i="5"/>
  <c r="D123" i="5"/>
  <c r="F36" i="20"/>
  <c r="D155" i="5"/>
  <c r="D147" i="5"/>
  <c r="D146" i="5"/>
  <c r="D226" i="5"/>
  <c r="D142" i="5"/>
  <c r="D139" i="5"/>
  <c r="D138" i="5"/>
  <c r="E61" i="3"/>
  <c r="F55" i="20" s="1"/>
  <c r="J61" i="3"/>
  <c r="K61" i="3" s="1"/>
  <c r="C52" i="29"/>
  <c r="C88" i="29"/>
  <c r="D122" i="5"/>
  <c r="D197" i="5"/>
  <c r="D196" i="5"/>
  <c r="F54" i="20"/>
  <c r="D105" i="5"/>
  <c r="D194" i="5"/>
  <c r="F25" i="24"/>
  <c r="D102" i="5"/>
  <c r="F36" i="24"/>
  <c r="D98" i="5"/>
  <c r="D191" i="5"/>
  <c r="D96" i="5"/>
  <c r="G56" i="27"/>
  <c r="H57" i="27" s="1"/>
  <c r="G55" i="27"/>
  <c r="E11" i="23"/>
  <c r="D244" i="5"/>
  <c r="G40" i="27"/>
  <c r="D75" i="5"/>
  <c r="D67" i="5"/>
  <c r="E35" i="17"/>
  <c r="E16" i="25"/>
  <c r="D55" i="5"/>
  <c r="F42" i="22"/>
  <c r="D52" i="5"/>
  <c r="F30" i="22"/>
  <c r="D50" i="5"/>
  <c r="D49" i="5"/>
  <c r="D230" i="5"/>
  <c r="F11" i="22"/>
  <c r="F18" i="22" s="1"/>
  <c r="F34" i="22" s="1"/>
  <c r="E19" i="3"/>
  <c r="F17" i="4"/>
  <c r="A253" i="5"/>
  <c r="C84" i="29"/>
  <c r="C73" i="29"/>
  <c r="C72" i="29"/>
  <c r="C74" i="29" s="1"/>
  <c r="C71" i="29"/>
  <c r="C68" i="29"/>
  <c r="C67" i="29"/>
  <c r="C69" i="29" s="1"/>
  <c r="C65" i="29"/>
  <c r="C64" i="29"/>
  <c r="C66" i="29"/>
  <c r="C63" i="29"/>
  <c r="C62" i="29"/>
  <c r="C61" i="29"/>
  <c r="C59" i="29"/>
  <c r="D255" i="5"/>
  <c r="F23" i="26"/>
  <c r="C156" i="28"/>
  <c r="C155" i="28"/>
  <c r="C130" i="28"/>
  <c r="E34" i="25"/>
  <c r="H51" i="27"/>
  <c r="H52" i="27" s="1"/>
  <c r="H50" i="27"/>
  <c r="G42" i="27"/>
  <c r="H38" i="27"/>
  <c r="G30" i="27"/>
  <c r="G29" i="27"/>
  <c r="G19" i="27"/>
  <c r="H19" i="27" s="1"/>
  <c r="G18" i="27"/>
  <c r="H18" i="27" s="1"/>
  <c r="G17" i="27"/>
  <c r="H17" i="27"/>
  <c r="G16" i="27"/>
  <c r="H16" i="27"/>
  <c r="G13" i="27"/>
  <c r="H13" i="27" s="1"/>
  <c r="G11" i="27"/>
  <c r="H11" i="27" s="1"/>
  <c r="G10" i="27"/>
  <c r="H10" i="27"/>
  <c r="F39" i="26"/>
  <c r="H27" i="26" s="1"/>
  <c r="E30" i="26"/>
  <c r="E29" i="26"/>
  <c r="F31" i="26" s="1"/>
  <c r="E28" i="26"/>
  <c r="E27" i="26"/>
  <c r="E15" i="26"/>
  <c r="E13" i="26"/>
  <c r="D254" i="5"/>
  <c r="D17" i="8"/>
  <c r="K120" i="3"/>
  <c r="G81" i="2"/>
  <c r="G68" i="2"/>
  <c r="E15" i="24"/>
  <c r="D252" i="5"/>
  <c r="F18" i="4"/>
  <c r="E21" i="25"/>
  <c r="F25" i="25"/>
  <c r="E30" i="25"/>
  <c r="F39" i="25"/>
  <c r="F41" i="25"/>
  <c r="E27" i="24"/>
  <c r="F35" i="24"/>
  <c r="F44" i="24"/>
  <c r="F45" i="24"/>
  <c r="F46" i="24" s="1"/>
  <c r="D14" i="3"/>
  <c r="D16" i="3"/>
  <c r="D18" i="3"/>
  <c r="D19" i="3"/>
  <c r="D20" i="3"/>
  <c r="E20" i="3"/>
  <c r="F51" i="20"/>
  <c r="D21" i="3"/>
  <c r="E21" i="3"/>
  <c r="D22" i="3"/>
  <c r="D23" i="3"/>
  <c r="D24" i="3"/>
  <c r="D25" i="3"/>
  <c r="D26" i="3"/>
  <c r="D27" i="3"/>
  <c r="D28" i="3"/>
  <c r="D29" i="3"/>
  <c r="D30" i="3"/>
  <c r="D31" i="3"/>
  <c r="D32" i="3"/>
  <c r="D33" i="3"/>
  <c r="D34" i="3"/>
  <c r="D35" i="3"/>
  <c r="D36" i="3"/>
  <c r="D37" i="3"/>
  <c r="D38" i="3"/>
  <c r="D39" i="3"/>
  <c r="D40" i="3"/>
  <c r="D41" i="3"/>
  <c r="D42" i="3"/>
  <c r="D44" i="3"/>
  <c r="E44" i="3"/>
  <c r="D45" i="3"/>
  <c r="E45" i="3"/>
  <c r="E49" i="3"/>
  <c r="E51" i="3"/>
  <c r="E52" i="3"/>
  <c r="E53" i="3"/>
  <c r="E54" i="3"/>
  <c r="E60" i="3"/>
  <c r="F23" i="20" s="1"/>
  <c r="J60" i="3"/>
  <c r="K60" i="3" s="1"/>
  <c r="K101" i="3"/>
  <c r="D107" i="3"/>
  <c r="D108" i="3"/>
  <c r="E108" i="3"/>
  <c r="J108" i="3"/>
  <c r="K108" i="3"/>
  <c r="D109" i="3"/>
  <c r="D110" i="3"/>
  <c r="E110" i="3"/>
  <c r="J110" i="3" s="1"/>
  <c r="K110" i="3" s="1"/>
  <c r="D111" i="3"/>
  <c r="D112" i="3"/>
  <c r="E112" i="3"/>
  <c r="J112" i="3"/>
  <c r="K112" i="3" s="1"/>
  <c r="D113" i="3"/>
  <c r="D114" i="3"/>
  <c r="D115" i="3"/>
  <c r="D116" i="3"/>
  <c r="G116" i="3"/>
  <c r="J116" i="3" s="1"/>
  <c r="K116" i="3" s="1"/>
  <c r="I116" i="3"/>
  <c r="D117" i="3"/>
  <c r="D118" i="3"/>
  <c r="D119" i="3"/>
  <c r="D120" i="3"/>
  <c r="D138" i="3"/>
  <c r="D139" i="3"/>
  <c r="D140" i="3"/>
  <c r="D141" i="3"/>
  <c r="D142" i="3"/>
  <c r="D143" i="3"/>
  <c r="D144" i="3"/>
  <c r="D145" i="3"/>
  <c r="D146" i="3"/>
  <c r="D166" i="3"/>
  <c r="D167" i="3"/>
  <c r="D168" i="3"/>
  <c r="D169" i="3"/>
  <c r="D170" i="3"/>
  <c r="D171" i="3"/>
  <c r="D172" i="3"/>
  <c r="D175" i="3"/>
  <c r="D176" i="3"/>
  <c r="F19" i="4"/>
  <c r="F20" i="4"/>
  <c r="F22" i="4"/>
  <c r="F23" i="4"/>
  <c r="F24" i="4"/>
  <c r="F25" i="4"/>
  <c r="F36" i="4"/>
  <c r="F13" i="20"/>
  <c r="F14" i="20"/>
  <c r="F15" i="20"/>
  <c r="F52" i="20"/>
  <c r="F53" i="20"/>
  <c r="D6" i="5"/>
  <c r="D7" i="5"/>
  <c r="D8" i="5"/>
  <c r="D9" i="5"/>
  <c r="D10" i="5"/>
  <c r="D11" i="5"/>
  <c r="D13" i="5"/>
  <c r="D14" i="5"/>
  <c r="D15" i="5"/>
  <c r="D16" i="5"/>
  <c r="D17" i="5"/>
  <c r="D18" i="5"/>
  <c r="D19" i="5"/>
  <c r="D20" i="5"/>
  <c r="D21" i="5"/>
  <c r="D22" i="5"/>
  <c r="D23" i="5"/>
  <c r="D24" i="5"/>
  <c r="D25" i="5"/>
  <c r="D27" i="5"/>
  <c r="D28" i="5"/>
  <c r="D29" i="5"/>
  <c r="D31" i="5"/>
  <c r="D32" i="5"/>
  <c r="D33" i="5"/>
  <c r="D34" i="5"/>
  <c r="D35" i="5"/>
  <c r="D36" i="5"/>
  <c r="D37" i="5"/>
  <c r="D38" i="5"/>
  <c r="D39" i="5"/>
  <c r="D42" i="5"/>
  <c r="D43" i="5"/>
  <c r="D45" i="5"/>
  <c r="D46" i="5"/>
  <c r="D47" i="5"/>
  <c r="D48" i="5"/>
  <c r="A51" i="5"/>
  <c r="D54" i="5"/>
  <c r="A55" i="5"/>
  <c r="A59" i="5"/>
  <c r="D59" i="5"/>
  <c r="A60" i="5"/>
  <c r="D60" i="5"/>
  <c r="A63" i="5"/>
  <c r="D63" i="5"/>
  <c r="A64" i="5"/>
  <c r="D68" i="5"/>
  <c r="A72" i="5"/>
  <c r="D73" i="5"/>
  <c r="A75" i="5"/>
  <c r="A77" i="5"/>
  <c r="D78" i="5"/>
  <c r="A81" i="5"/>
  <c r="A83" i="5"/>
  <c r="A85" i="5"/>
  <c r="D85" i="5"/>
  <c r="D93" i="5"/>
  <c r="A96" i="5"/>
  <c r="A100" i="5"/>
  <c r="A106" i="5"/>
  <c r="D107" i="5"/>
  <c r="D111" i="5"/>
  <c r="D112" i="5"/>
  <c r="A113" i="5"/>
  <c r="D113" i="5"/>
  <c r="A114" i="5"/>
  <c r="D114" i="5"/>
  <c r="D115" i="5"/>
  <c r="D116" i="5"/>
  <c r="A117" i="5"/>
  <c r="A119" i="5"/>
  <c r="A121" i="5"/>
  <c r="C122" i="5"/>
  <c r="C123" i="5"/>
  <c r="C124" i="5"/>
  <c r="C125" i="5"/>
  <c r="C126" i="5"/>
  <c r="C127" i="5"/>
  <c r="A128" i="5"/>
  <c r="C128" i="5"/>
  <c r="C129" i="5"/>
  <c r="C130" i="5"/>
  <c r="D131" i="5"/>
  <c r="A133" i="5"/>
  <c r="D136" i="5"/>
  <c r="A137" i="5"/>
  <c r="A139" i="5"/>
  <c r="A141" i="5"/>
  <c r="D141" i="5"/>
  <c r="A142" i="5"/>
  <c r="D145" i="5"/>
  <c r="A147" i="5"/>
  <c r="D149" i="5"/>
  <c r="A150" i="5"/>
  <c r="A152" i="5"/>
  <c r="A156" i="5"/>
  <c r="D157" i="5"/>
  <c r="A162" i="5"/>
  <c r="A164" i="5"/>
  <c r="A166" i="5"/>
  <c r="D166" i="5"/>
  <c r="A168" i="5"/>
  <c r="D168" i="5"/>
  <c r="A169" i="5"/>
  <c r="D170" i="5"/>
  <c r="D172" i="5"/>
  <c r="D173" i="5"/>
  <c r="A174" i="5"/>
  <c r="D174" i="5"/>
  <c r="A175" i="5"/>
  <c r="D176" i="5"/>
  <c r="D178" i="5"/>
  <c r="D179" i="5"/>
  <c r="D180" i="5"/>
  <c r="D181" i="5"/>
  <c r="D182" i="5"/>
  <c r="A184" i="5"/>
  <c r="A186" i="5"/>
  <c r="A188" i="5"/>
  <c r="D189" i="5"/>
  <c r="A193" i="5"/>
  <c r="A195" i="5"/>
  <c r="A197" i="5"/>
  <c r="D205" i="5"/>
  <c r="D206" i="5"/>
  <c r="D207" i="5"/>
  <c r="D211" i="5"/>
  <c r="D212" i="5"/>
  <c r="D213" i="5"/>
  <c r="D214" i="5"/>
  <c r="D216" i="5"/>
  <c r="D217" i="5"/>
  <c r="A218" i="5"/>
  <c r="D218" i="5"/>
  <c r="A219" i="5"/>
  <c r="D219" i="5"/>
  <c r="D222" i="5"/>
  <c r="D224" i="5"/>
  <c r="D225" i="5"/>
  <c r="A227" i="5"/>
  <c r="D228" i="5"/>
  <c r="D229" i="5"/>
  <c r="A231" i="5"/>
  <c r="A233" i="5"/>
  <c r="D234" i="5"/>
  <c r="D235" i="5"/>
  <c r="A238" i="5"/>
  <c r="D239" i="5"/>
  <c r="D240" i="5"/>
  <c r="D241" i="5"/>
  <c r="D243" i="5"/>
  <c r="D246" i="5"/>
  <c r="D248" i="5"/>
  <c r="D249" i="5"/>
  <c r="D250" i="5"/>
  <c r="D251" i="5"/>
  <c r="J37" i="1"/>
  <c r="J38" i="1"/>
  <c r="H36" i="1" s="1"/>
  <c r="H110" i="1"/>
  <c r="D26" i="5" s="1"/>
  <c r="F34" i="15"/>
  <c r="D215" i="5" s="1"/>
  <c r="J36" i="15"/>
  <c r="F37" i="15"/>
  <c r="E126" i="3" s="1"/>
  <c r="F40" i="15"/>
  <c r="E127" i="3" s="1"/>
  <c r="F41" i="15"/>
  <c r="D201" i="5" s="1"/>
  <c r="F42" i="15"/>
  <c r="F43" i="15"/>
  <c r="F44" i="15"/>
  <c r="E131" i="3"/>
  <c r="I49" i="15"/>
  <c r="I54" i="15"/>
  <c r="I55" i="15"/>
  <c r="D6" i="16"/>
  <c r="D9" i="16"/>
  <c r="D13" i="16"/>
  <c r="D15" i="16"/>
  <c r="D18" i="16"/>
  <c r="D25" i="16"/>
  <c r="D32" i="16"/>
  <c r="D35" i="16"/>
  <c r="D38" i="16"/>
  <c r="D41" i="16"/>
  <c r="D46" i="16"/>
  <c r="D49" i="16"/>
  <c r="D53" i="16"/>
  <c r="D58" i="16"/>
  <c r="E5" i="17"/>
  <c r="E7" i="17"/>
  <c r="E19" i="17"/>
  <c r="E23" i="17"/>
  <c r="E24" i="17"/>
  <c r="D209" i="5"/>
  <c r="E26" i="17"/>
  <c r="E29" i="17"/>
  <c r="E34" i="17"/>
  <c r="H34" i="17"/>
  <c r="K34" i="17"/>
  <c r="E41" i="17"/>
  <c r="H41" i="17"/>
  <c r="K41" i="17"/>
  <c r="D7" i="8"/>
  <c r="D15" i="8"/>
  <c r="D21" i="8"/>
  <c r="D30" i="8"/>
  <c r="D33" i="8"/>
  <c r="D36" i="8"/>
  <c r="D44" i="8"/>
  <c r="D47" i="8"/>
  <c r="D5" i="7"/>
  <c r="D10" i="7"/>
  <c r="D24" i="7"/>
  <c r="D28" i="7"/>
  <c r="D32" i="7"/>
  <c r="D35" i="7"/>
  <c r="D42" i="7"/>
  <c r="D45" i="7"/>
  <c r="D5" i="9"/>
  <c r="D12" i="9"/>
  <c r="D17" i="9"/>
  <c r="D23" i="9"/>
  <c r="D26" i="9"/>
  <c r="D29" i="9"/>
  <c r="D43" i="9"/>
  <c r="D52" i="9"/>
  <c r="D5" i="10"/>
  <c r="D10" i="10"/>
  <c r="D23" i="10"/>
  <c r="D32" i="10"/>
  <c r="D35" i="10"/>
  <c r="D38" i="10"/>
  <c r="D42" i="10"/>
  <c r="D46" i="10"/>
  <c r="D52" i="10"/>
  <c r="D54" i="10"/>
  <c r="D64" i="10"/>
  <c r="D70" i="10"/>
  <c r="D75" i="10"/>
  <c r="D86" i="10"/>
  <c r="D2" i="6"/>
  <c r="D7" i="6"/>
  <c r="D16" i="6"/>
  <c r="D19" i="6"/>
  <c r="D25" i="6"/>
  <c r="D30" i="6"/>
  <c r="D38" i="6"/>
  <c r="D43" i="6"/>
  <c r="D8" i="2"/>
  <c r="G8" i="2"/>
  <c r="D16" i="2"/>
  <c r="F20" i="2"/>
  <c r="D24" i="2"/>
  <c r="D27" i="2"/>
  <c r="D30" i="2"/>
  <c r="D35" i="2"/>
  <c r="D40" i="2"/>
  <c r="D45" i="2"/>
  <c r="D48" i="2"/>
  <c r="D51" i="2"/>
  <c r="D54" i="2"/>
  <c r="D59" i="2"/>
  <c r="D69" i="2"/>
  <c r="D70" i="2"/>
  <c r="D75" i="2"/>
  <c r="D101" i="2"/>
  <c r="D102" i="2"/>
  <c r="D119" i="5"/>
  <c r="D103" i="2"/>
  <c r="D120" i="5" s="1"/>
  <c r="D104" i="2"/>
  <c r="D121" i="5"/>
  <c r="D90" i="5"/>
  <c r="F15" i="22"/>
  <c r="B2" i="26"/>
  <c r="B2" i="25"/>
  <c r="C4" i="4"/>
  <c r="A4" i="5"/>
  <c r="A7" i="5"/>
  <c r="A11" i="5"/>
  <c r="A14" i="5"/>
  <c r="A18" i="5"/>
  <c r="A22" i="5"/>
  <c r="A26" i="5"/>
  <c r="A30" i="5"/>
  <c r="A34" i="5"/>
  <c r="A38" i="5"/>
  <c r="A42" i="5"/>
  <c r="A46" i="5"/>
  <c r="A52" i="5"/>
  <c r="A54" i="5"/>
  <c r="A62" i="5"/>
  <c r="A67" i="5"/>
  <c r="A69" i="5"/>
  <c r="A79" i="5"/>
  <c r="A87" i="5"/>
  <c r="A90" i="5"/>
  <c r="A92" i="5"/>
  <c r="A94" i="5"/>
  <c r="A99" i="5"/>
  <c r="A103" i="5"/>
  <c r="A107" i="5"/>
  <c r="A109" i="5"/>
  <c r="A111" i="5"/>
  <c r="A115" i="5"/>
  <c r="A127" i="5"/>
  <c r="A130" i="5"/>
  <c r="A134" i="5"/>
  <c r="A136" i="5"/>
  <c r="A144" i="5"/>
  <c r="A148" i="5"/>
  <c r="A153" i="5"/>
  <c r="A157" i="5"/>
  <c r="A159" i="5"/>
  <c r="A161" i="5"/>
  <c r="A172" i="5"/>
  <c r="A177" i="5"/>
  <c r="A181" i="5"/>
  <c r="A191" i="5"/>
  <c r="A199" i="5"/>
  <c r="A201" i="5"/>
  <c r="A203" i="5"/>
  <c r="A205" i="5"/>
  <c r="A209" i="5"/>
  <c r="A213" i="5"/>
  <c r="A216" i="5"/>
  <c r="A220" i="5"/>
  <c r="A222" i="5"/>
  <c r="A224" i="5"/>
  <c r="A228" i="5"/>
  <c r="A235" i="5"/>
  <c r="A240" i="5"/>
  <c r="A244" i="5"/>
  <c r="A246" i="5"/>
  <c r="A248" i="5"/>
  <c r="F13" i="22"/>
  <c r="D57" i="5"/>
  <c r="D80" i="5"/>
  <c r="D192" i="5"/>
  <c r="E23" i="3"/>
  <c r="D4" i="5"/>
  <c r="F20" i="23"/>
  <c r="B17" i="4"/>
  <c r="B237" i="5"/>
  <c r="B218" i="5"/>
  <c r="B198" i="5"/>
  <c r="B177" i="5"/>
  <c r="B157" i="5"/>
  <c r="B141" i="5"/>
  <c r="B127" i="5"/>
  <c r="B102" i="5"/>
  <c r="B88" i="5"/>
  <c r="B71" i="5"/>
  <c r="B52" i="5"/>
  <c r="B36" i="5"/>
  <c r="B19" i="5"/>
  <c r="B5" i="5"/>
  <c r="B243" i="5"/>
  <c r="B227" i="5"/>
  <c r="B205" i="5"/>
  <c r="B181" i="5"/>
  <c r="B165" i="5"/>
  <c r="B158" i="5"/>
  <c r="B147" i="5"/>
  <c r="B125" i="5"/>
  <c r="B103" i="5"/>
  <c r="B78" i="5"/>
  <c r="B72" i="5"/>
  <c r="B60" i="5"/>
  <c r="B47" i="5"/>
  <c r="B29" i="5"/>
  <c r="B14" i="5"/>
  <c r="C4" i="3"/>
  <c r="B235" i="5"/>
  <c r="B216" i="5"/>
  <c r="B196" i="5"/>
  <c r="B174" i="5"/>
  <c r="B155" i="5"/>
  <c r="B139" i="5"/>
  <c r="B117" i="5"/>
  <c r="B100" i="5"/>
  <c r="B86" i="5"/>
  <c r="B68" i="5"/>
  <c r="B50" i="5"/>
  <c r="B34" i="5"/>
  <c r="B17" i="5"/>
  <c r="F26" i="4"/>
  <c r="B245" i="5"/>
  <c r="B232" i="5"/>
  <c r="B223" i="5"/>
  <c r="B210" i="5"/>
  <c r="B199" i="5"/>
  <c r="B189" i="5"/>
  <c r="B185" i="5"/>
  <c r="B173" i="5"/>
  <c r="B154" i="5"/>
  <c r="B136" i="5"/>
  <c r="B124" i="5"/>
  <c r="B119" i="5"/>
  <c r="B110" i="5"/>
  <c r="B96" i="5"/>
  <c r="B87" i="5"/>
  <c r="B62" i="5"/>
  <c r="B45" i="5"/>
  <c r="B31" i="5"/>
  <c r="B16" i="5"/>
  <c r="D200" i="5"/>
  <c r="F56" i="23"/>
  <c r="B2" i="27"/>
  <c r="D154" i="5"/>
  <c r="D101" i="5"/>
  <c r="D21" i="9"/>
  <c r="D97" i="5" s="1"/>
  <c r="E163" i="3"/>
  <c r="F35" i="20"/>
  <c r="D162" i="5"/>
  <c r="F9" i="25"/>
  <c r="D153" i="5"/>
  <c r="E17" i="26"/>
  <c r="F20" i="26" s="1"/>
  <c r="F46" i="23"/>
  <c r="F23" i="24"/>
  <c r="C89" i="29"/>
  <c r="C90" i="29"/>
  <c r="D41" i="9"/>
  <c r="D103" i="5"/>
  <c r="F61" i="23"/>
  <c r="F17" i="24"/>
  <c r="F34" i="24"/>
  <c r="E34" i="3"/>
  <c r="E25" i="16"/>
  <c r="B4" i="5"/>
  <c r="B24" i="5"/>
  <c r="B39" i="5"/>
  <c r="B54" i="5"/>
  <c r="B69" i="5"/>
  <c r="B92" i="5"/>
  <c r="B104" i="5"/>
  <c r="B116" i="5"/>
  <c r="B121" i="5"/>
  <c r="B131" i="5"/>
  <c r="B142" i="5"/>
  <c r="B169" i="5"/>
  <c r="B183" i="5"/>
  <c r="B187" i="5"/>
  <c r="B195" i="5"/>
  <c r="B204" i="5"/>
  <c r="B219" i="5"/>
  <c r="B229" i="5"/>
  <c r="B234" i="5"/>
  <c r="B249" i="5"/>
  <c r="B10" i="5"/>
  <c r="B25" i="5"/>
  <c r="B42" i="5"/>
  <c r="B59" i="5"/>
  <c r="B79" i="5"/>
  <c r="B93" i="5"/>
  <c r="B109" i="5"/>
  <c r="B130" i="5"/>
  <c r="B148" i="5"/>
  <c r="B167" i="5"/>
  <c r="B182" i="5"/>
  <c r="B208" i="5"/>
  <c r="B224" i="5"/>
  <c r="B244" i="5"/>
  <c r="B7" i="5"/>
  <c r="B22" i="5"/>
  <c r="B37" i="5"/>
  <c r="B53" i="5"/>
  <c r="B65" i="5"/>
  <c r="B75" i="5"/>
  <c r="B85" i="5"/>
  <c r="B114" i="5"/>
  <c r="B138" i="5"/>
  <c r="B151" i="5"/>
  <c r="B163" i="5"/>
  <c r="B175" i="5"/>
  <c r="B201" i="5"/>
  <c r="B214" i="5"/>
  <c r="B238" i="5"/>
  <c r="B255" i="5"/>
  <c r="B12" i="5"/>
  <c r="B28" i="5"/>
  <c r="B44" i="5"/>
  <c r="B61" i="5"/>
  <c r="B80" i="5"/>
  <c r="B95" i="5"/>
  <c r="B111" i="5"/>
  <c r="B132" i="5"/>
  <c r="B150" i="5"/>
  <c r="B168" i="5"/>
  <c r="B190" i="5"/>
  <c r="B211" i="5"/>
  <c r="B226" i="5"/>
  <c r="F31" i="4"/>
  <c r="H31" i="4" s="1"/>
  <c r="E59" i="22"/>
  <c r="D92" i="5"/>
  <c r="E12" i="23"/>
  <c r="E15" i="25"/>
  <c r="F17" i="25"/>
  <c r="H4" i="4"/>
  <c r="C44" i="17"/>
  <c r="D71" i="5"/>
  <c r="E35" i="3"/>
  <c r="D99" i="5"/>
  <c r="D12" i="21"/>
  <c r="D16" i="21" s="1"/>
  <c r="E35" i="25"/>
  <c r="D199" i="5"/>
  <c r="F19" i="24"/>
  <c r="D61" i="5"/>
  <c r="D37" i="8"/>
  <c r="D220" i="5"/>
  <c r="F24" i="24"/>
  <c r="F44" i="23"/>
  <c r="D193" i="5"/>
  <c r="E18" i="26"/>
  <c r="F18" i="24"/>
  <c r="E25" i="3"/>
  <c r="D161" i="5"/>
  <c r="B254" i="5"/>
  <c r="B250" i="5"/>
  <c r="B242" i="5"/>
  <c r="B230" i="5"/>
  <c r="B222" i="5"/>
  <c r="B215" i="5"/>
  <c r="B206" i="5"/>
  <c r="B194" i="5"/>
  <c r="B180" i="5"/>
  <c r="B172" i="5"/>
  <c r="B162" i="5"/>
  <c r="B153" i="5"/>
  <c r="B146" i="5"/>
  <c r="B137" i="5"/>
  <c r="B129" i="5"/>
  <c r="B115" i="5"/>
  <c r="B107" i="5"/>
  <c r="B98" i="5"/>
  <c r="B91" i="5"/>
  <c r="B84" i="5"/>
  <c r="B76" i="5"/>
  <c r="B66" i="5"/>
  <c r="B57" i="5"/>
  <c r="B48" i="5"/>
  <c r="B40" i="5"/>
  <c r="B32" i="5"/>
  <c r="B23" i="5"/>
  <c r="B15" i="5"/>
  <c r="B8" i="5"/>
  <c r="B252" i="5"/>
  <c r="B251" i="5"/>
  <c r="B239" i="5"/>
  <c r="B236" i="5"/>
  <c r="B217" i="5"/>
  <c r="B209" i="5"/>
  <c r="B203" i="5"/>
  <c r="B193" i="5"/>
  <c r="B176" i="5"/>
  <c r="B166" i="5"/>
  <c r="B164" i="5"/>
  <c r="B160" i="5"/>
  <c r="B156" i="5"/>
  <c r="B149" i="5"/>
  <c r="B145" i="5"/>
  <c r="B135" i="5"/>
  <c r="B123" i="5"/>
  <c r="B108" i="5"/>
  <c r="B99" i="5"/>
  <c r="B81" i="5"/>
  <c r="B77" i="5"/>
  <c r="B74" i="5"/>
  <c r="B70" i="5"/>
  <c r="B64" i="5"/>
  <c r="B58" i="5"/>
  <c r="B51" i="5"/>
  <c r="B41" i="5"/>
  <c r="B33" i="5"/>
  <c r="B26" i="5"/>
  <c r="B18" i="5"/>
  <c r="B11" i="5"/>
  <c r="E4" i="4"/>
  <c r="B248" i="5"/>
  <c r="B240" i="5"/>
  <c r="B228" i="5"/>
  <c r="B220" i="5"/>
  <c r="B213" i="5"/>
  <c r="B200" i="5"/>
  <c r="B192" i="5"/>
  <c r="B178" i="5"/>
  <c r="B170" i="5"/>
  <c r="B159" i="5"/>
  <c r="B152" i="5"/>
  <c r="B143" i="5"/>
  <c r="B134" i="5"/>
  <c r="B128" i="5"/>
  <c r="B113" i="5"/>
  <c r="B105" i="5"/>
  <c r="B97" i="5"/>
  <c r="B89" i="5"/>
  <c r="B82" i="5"/>
  <c r="B73" i="5"/>
  <c r="B63" i="5"/>
  <c r="B55" i="5"/>
  <c r="B46" i="5"/>
  <c r="B38" i="5"/>
  <c r="B30" i="5"/>
  <c r="B21" i="5"/>
  <c r="B13" i="5"/>
  <c r="B6" i="5"/>
  <c r="B253" i="5"/>
  <c r="B247" i="5"/>
  <c r="B241" i="5"/>
  <c r="B233" i="5"/>
  <c r="B231" i="5"/>
  <c r="B225" i="5"/>
  <c r="B221" i="5"/>
  <c r="B212" i="5"/>
  <c r="B207" i="5"/>
  <c r="B202" i="5"/>
  <c r="B197" i="5"/>
  <c r="B191" i="5"/>
  <c r="B188" i="5"/>
  <c r="B186" i="5"/>
  <c r="B184" i="5"/>
  <c r="B179" i="5"/>
  <c r="B171" i="5"/>
  <c r="B161" i="5"/>
  <c r="B144" i="5"/>
  <c r="B140" i="5"/>
  <c r="B133" i="5"/>
  <c r="B126" i="5"/>
  <c r="B122" i="5"/>
  <c r="B120" i="5"/>
  <c r="B118" i="5"/>
  <c r="B112" i="5"/>
  <c r="B106" i="5"/>
  <c r="B101" i="5"/>
  <c r="B94" i="5"/>
  <c r="B90" i="5"/>
  <c r="B83" i="5"/>
  <c r="B67" i="5"/>
  <c r="B56" i="5"/>
  <c r="B49" i="5"/>
  <c r="B43" i="5"/>
  <c r="B35" i="5"/>
  <c r="B27" i="5"/>
  <c r="B20" i="5"/>
  <c r="B9" i="5"/>
  <c r="F50" i="23"/>
  <c r="F24" i="26"/>
  <c r="A249" i="5"/>
  <c r="A247" i="5"/>
  <c r="A245" i="5"/>
  <c r="A241" i="5"/>
  <c r="A236" i="5"/>
  <c r="A229" i="5"/>
  <c r="A225" i="5"/>
  <c r="A223" i="5"/>
  <c r="A221" i="5"/>
  <c r="A217" i="5"/>
  <c r="A214" i="5"/>
  <c r="A210" i="5"/>
  <c r="A208" i="5"/>
  <c r="A204" i="5"/>
  <c r="A202" i="5"/>
  <c r="A200" i="5"/>
  <c r="A198" i="5"/>
  <c r="A190" i="5"/>
  <c r="A180" i="5"/>
  <c r="A173" i="5"/>
  <c r="A167" i="5"/>
  <c r="A160" i="5"/>
  <c r="A158" i="5"/>
  <c r="A154" i="5"/>
  <c r="A149" i="5"/>
  <c r="A145" i="5"/>
  <c r="A143" i="5"/>
  <c r="A135" i="5"/>
  <c r="A131" i="5"/>
  <c r="A129" i="5"/>
  <c r="A116" i="5"/>
  <c r="A112" i="5"/>
  <c r="A110" i="5"/>
  <c r="A108" i="5"/>
  <c r="A104" i="5"/>
  <c r="A102" i="5"/>
  <c r="A98" i="5"/>
  <c r="A93" i="5"/>
  <c r="A91" i="5"/>
  <c r="A89" i="5"/>
  <c r="A86" i="5"/>
  <c r="A70" i="5"/>
  <c r="A68" i="5"/>
  <c r="A66" i="5"/>
  <c r="A61" i="5"/>
  <c r="A53" i="5"/>
  <c r="A47" i="5"/>
  <c r="A43" i="5"/>
  <c r="A39" i="5"/>
  <c r="A35" i="5"/>
  <c r="A31" i="5"/>
  <c r="A27" i="5"/>
  <c r="A25" i="5"/>
  <c r="A21" i="5"/>
  <c r="A17" i="5"/>
  <c r="A13" i="5"/>
  <c r="A10" i="5"/>
  <c r="A6" i="5"/>
  <c r="F16" i="4"/>
  <c r="B2" i="23"/>
  <c r="A254" i="5"/>
  <c r="A255" i="5"/>
  <c r="A251" i="5"/>
  <c r="A250" i="5"/>
  <c r="A243" i="5"/>
  <c r="A242" i="5"/>
  <c r="A239" i="5"/>
  <c r="A237" i="5"/>
  <c r="A234" i="5"/>
  <c r="A232" i="5"/>
  <c r="A230" i="5"/>
  <c r="A226" i="5"/>
  <c r="A215" i="5"/>
  <c r="A212" i="5"/>
  <c r="A211" i="5"/>
  <c r="A207" i="5"/>
  <c r="A206" i="5"/>
  <c r="A196" i="5"/>
  <c r="A194" i="5"/>
  <c r="A192" i="5"/>
  <c r="A189" i="5"/>
  <c r="A187" i="5"/>
  <c r="A185" i="5"/>
  <c r="A183" i="5"/>
  <c r="A182" i="5"/>
  <c r="A179" i="5"/>
  <c r="A178" i="5"/>
  <c r="A176" i="5"/>
  <c r="A171" i="5"/>
  <c r="A170" i="5"/>
  <c r="A165" i="5"/>
  <c r="A163" i="5"/>
  <c r="A155" i="5"/>
  <c r="A151" i="5"/>
  <c r="A146" i="5"/>
  <c r="A140" i="5"/>
  <c r="A138" i="5"/>
  <c r="A132" i="5"/>
  <c r="A126" i="5"/>
  <c r="A125" i="5"/>
  <c r="A124" i="5"/>
  <c r="A123" i="5"/>
  <c r="A122" i="5"/>
  <c r="A120" i="5"/>
  <c r="A118" i="5"/>
  <c r="A105" i="5"/>
  <c r="A101" i="5"/>
  <c r="A97" i="5"/>
  <c r="A95" i="5"/>
  <c r="A88" i="5"/>
  <c r="A84" i="5"/>
  <c r="A82" i="5"/>
  <c r="A80" i="5"/>
  <c r="A78" i="5"/>
  <c r="A76" i="5"/>
  <c r="A74" i="5"/>
  <c r="A73" i="5"/>
  <c r="A71" i="5"/>
  <c r="A65" i="5"/>
  <c r="A58" i="5"/>
  <c r="A56" i="5"/>
  <c r="A50" i="5"/>
  <c r="A44" i="5"/>
  <c r="A41" i="5"/>
  <c r="A40" i="5"/>
  <c r="A37" i="5"/>
  <c r="A36" i="5"/>
  <c r="A33" i="5"/>
  <c r="A32" i="5"/>
  <c r="A29" i="5"/>
  <c r="A28" i="5"/>
  <c r="A24" i="5"/>
  <c r="A23" i="5"/>
  <c r="A20" i="5"/>
  <c r="A19" i="5"/>
  <c r="A16" i="5"/>
  <c r="A15" i="5"/>
  <c r="A5" i="5"/>
  <c r="B2" i="22"/>
  <c r="A252" i="5"/>
  <c r="F58" i="23"/>
  <c r="G53" i="27"/>
  <c r="B2" i="24"/>
  <c r="F10" i="24"/>
  <c r="F31" i="24" s="1"/>
  <c r="F25" i="26"/>
  <c r="D35" i="6"/>
  <c r="E13" i="24" s="1"/>
  <c r="F16" i="24" s="1"/>
  <c r="G9" i="2"/>
  <c r="D163" i="5"/>
  <c r="G10" i="2"/>
  <c r="D164" i="5"/>
  <c r="F35" i="23"/>
  <c r="B35" i="4"/>
  <c r="F11" i="25"/>
  <c r="D51" i="5"/>
  <c r="F8" i="20"/>
  <c r="E76" i="3"/>
  <c r="D84" i="5"/>
  <c r="D41" i="5"/>
  <c r="C5" i="3"/>
  <c r="E73" i="3"/>
  <c r="F43" i="20" s="1"/>
  <c r="E74" i="3"/>
  <c r="F9" i="24"/>
  <c r="F8" i="25"/>
  <c r="B41" i="4"/>
  <c r="F12" i="25"/>
  <c r="D14" i="6"/>
  <c r="F49" i="4" s="1"/>
  <c r="H49" i="4" s="1"/>
  <c r="D195" i="5"/>
  <c r="F20" i="24"/>
  <c r="D156" i="5"/>
  <c r="F21" i="26"/>
  <c r="E160" i="3"/>
  <c r="E75" i="3"/>
  <c r="F42" i="26"/>
  <c r="F44" i="26" s="1"/>
  <c r="E16" i="3"/>
  <c r="E17" i="3"/>
  <c r="D14" i="21"/>
  <c r="G54" i="27"/>
  <c r="D41" i="8"/>
  <c r="D77" i="5" s="1"/>
  <c r="D62" i="5"/>
  <c r="D59" i="16"/>
  <c r="D53" i="5" s="1"/>
  <c r="E30" i="3"/>
  <c r="F29" i="20"/>
  <c r="E29" i="3"/>
  <c r="F28" i="20" s="1"/>
  <c r="E9" i="26"/>
  <c r="F11" i="26" s="1"/>
  <c r="F32" i="26" s="1"/>
  <c r="E10" i="26"/>
  <c r="B3" i="1"/>
  <c r="D5" i="5" s="1"/>
  <c r="D26" i="8"/>
  <c r="E57" i="22" s="1"/>
  <c r="D64" i="2"/>
  <c r="E71" i="2" s="1"/>
  <c r="D6" i="2"/>
  <c r="F68" i="23"/>
  <c r="F22" i="24"/>
  <c r="E42" i="17"/>
  <c r="F41" i="4"/>
  <c r="H41" i="4" s="1"/>
  <c r="A57" i="5"/>
  <c r="A49" i="5"/>
  <c r="A48" i="5"/>
  <c r="A45" i="5"/>
  <c r="A12" i="5"/>
  <c r="A9" i="5"/>
  <c r="A8" i="5"/>
  <c r="E20" i="25"/>
  <c r="K39" i="17"/>
  <c r="E41" i="3" s="1"/>
  <c r="H32" i="25" s="1"/>
  <c r="E77" i="3"/>
  <c r="E24" i="3"/>
  <c r="E68" i="3" s="1"/>
  <c r="F32" i="20"/>
  <c r="E156" i="3"/>
  <c r="D49" i="10"/>
  <c r="F46" i="4" s="1"/>
  <c r="H46" i="4" s="1"/>
  <c r="F22" i="23"/>
  <c r="D100" i="5"/>
  <c r="B38" i="4"/>
  <c r="E19" i="26"/>
  <c r="H19" i="26" s="1"/>
  <c r="H32" i="26" s="1"/>
  <c r="E22" i="3"/>
  <c r="D12" i="2"/>
  <c r="D126" i="5"/>
  <c r="D132" i="5"/>
  <c r="D125" i="5"/>
  <c r="E26" i="24"/>
  <c r="F28" i="24" s="1"/>
  <c r="E116" i="3"/>
  <c r="E115" i="3"/>
  <c r="J115" i="3"/>
  <c r="K115" i="3"/>
  <c r="F40" i="25"/>
  <c r="D55" i="2"/>
  <c r="B44" i="4" s="1"/>
  <c r="E113" i="3"/>
  <c r="J113" i="3" s="1"/>
  <c r="K113" i="3" s="1"/>
  <c r="E114" i="3"/>
  <c r="J114" i="3"/>
  <c r="K114" i="3" s="1"/>
  <c r="D91" i="5"/>
  <c r="D81" i="5"/>
  <c r="E31" i="3"/>
  <c r="E33" i="3"/>
  <c r="D89" i="5"/>
  <c r="E161" i="3"/>
  <c r="F30" i="20"/>
  <c r="E162" i="3"/>
  <c r="B23" i="4"/>
  <c r="F51" i="4"/>
  <c r="H51" i="4"/>
  <c r="E120" i="3"/>
  <c r="G39" i="27"/>
  <c r="H43" i="27" s="1"/>
  <c r="H44" i="27" s="1"/>
  <c r="E117" i="3"/>
  <c r="J117" i="3"/>
  <c r="K117" i="3"/>
  <c r="D208" i="5"/>
  <c r="D76" i="5"/>
  <c r="D12" i="8"/>
  <c r="D69" i="5" s="1"/>
  <c r="D56" i="5"/>
  <c r="D58" i="5"/>
  <c r="D190" i="5"/>
  <c r="F11" i="20"/>
  <c r="D186" i="5"/>
  <c r="D29" i="7"/>
  <c r="F29" i="7" s="1"/>
  <c r="E13" i="23"/>
  <c r="D44" i="5"/>
  <c r="F43" i="26"/>
  <c r="I50" i="15"/>
  <c r="D104" i="5"/>
  <c r="D86" i="5"/>
  <c r="D70" i="5"/>
  <c r="D40" i="5"/>
  <c r="D30" i="5"/>
  <c r="F6" i="20"/>
  <c r="E111" i="3"/>
  <c r="J111" i="3"/>
  <c r="K111" i="3"/>
  <c r="E109" i="3"/>
  <c r="J109" i="3" s="1"/>
  <c r="K109" i="3" s="1"/>
  <c r="E107" i="3"/>
  <c r="J107" i="3"/>
  <c r="K107" i="3" s="1"/>
  <c r="E48" i="3"/>
  <c r="C5" i="4"/>
  <c r="D238" i="5"/>
  <c r="E69" i="3"/>
  <c r="J69" i="3" s="1"/>
  <c r="K69" i="3" s="1"/>
  <c r="D20" i="2"/>
  <c r="D130" i="5" s="1"/>
  <c r="C77" i="29"/>
  <c r="B32" i="4"/>
  <c r="C78" i="29"/>
  <c r="C79" i="29" s="1"/>
  <c r="F33" i="20"/>
  <c r="E128" i="3"/>
  <c r="E47" i="22"/>
  <c r="F49" i="22"/>
  <c r="E26" i="3"/>
  <c r="H40" i="24" s="1"/>
  <c r="E28" i="3"/>
  <c r="H48" i="24" s="1"/>
  <c r="E27" i="3"/>
  <c r="H52" i="24"/>
  <c r="E25" i="23"/>
  <c r="F28" i="23" s="1"/>
  <c r="D20" i="21"/>
  <c r="D22" i="21" s="1"/>
  <c r="D231" i="5" s="1"/>
  <c r="D108" i="5"/>
  <c r="F32" i="23"/>
  <c r="E38" i="3"/>
  <c r="F31" i="20"/>
  <c r="F33" i="26"/>
  <c r="F48" i="23"/>
  <c r="E27" i="23"/>
  <c r="D134" i="5"/>
  <c r="D140" i="5"/>
  <c r="F22" i="26"/>
  <c r="E26" i="23"/>
  <c r="F13" i="25"/>
  <c r="F30" i="24"/>
  <c r="D137" i="5"/>
  <c r="F37" i="23"/>
  <c r="F45" i="4"/>
  <c r="H45" i="4"/>
  <c r="G31" i="27"/>
  <c r="F16" i="26"/>
  <c r="E125" i="3"/>
  <c r="J125" i="3" s="1"/>
  <c r="K125" i="3" s="1"/>
  <c r="F39" i="23"/>
  <c r="F47" i="4"/>
  <c r="H47" i="4"/>
  <c r="D144" i="5"/>
  <c r="D118" i="5"/>
  <c r="E88" i="3"/>
  <c r="E95" i="3"/>
  <c r="E97" i="3"/>
  <c r="E83" i="3"/>
  <c r="E94" i="3"/>
  <c r="E82" i="3"/>
  <c r="E81" i="3"/>
  <c r="F45" i="20"/>
  <c r="E96" i="3"/>
  <c r="E90" i="3"/>
  <c r="E89" i="3"/>
  <c r="F34" i="20"/>
  <c r="B26" i="4"/>
  <c r="H32" i="24"/>
  <c r="E43" i="3"/>
  <c r="E99" i="3" s="1"/>
  <c r="F44" i="20" s="1"/>
  <c r="E19" i="25"/>
  <c r="F22" i="25" s="1"/>
  <c r="E42" i="3"/>
  <c r="H37" i="25"/>
  <c r="E40" i="3"/>
  <c r="D232" i="5" s="1"/>
  <c r="D64" i="5"/>
  <c r="E119" i="3"/>
  <c r="J119" i="3" s="1"/>
  <c r="K119" i="3" s="1"/>
  <c r="E102" i="3"/>
  <c r="J102" i="3"/>
  <c r="K102" i="3"/>
  <c r="E10" i="23"/>
  <c r="F14" i="23" s="1"/>
  <c r="E70" i="3"/>
  <c r="J70" i="3" s="1"/>
  <c r="K70" i="3" s="1"/>
  <c r="D203" i="5"/>
  <c r="E130" i="3"/>
  <c r="F10" i="20" s="1"/>
  <c r="B20" i="4"/>
  <c r="E67" i="3"/>
  <c r="D204" i="5"/>
  <c r="D202" i="5"/>
  <c r="E129" i="3"/>
  <c r="E55" i="22"/>
  <c r="E100" i="3"/>
  <c r="J100" i="3" s="1"/>
  <c r="K100" i="3" s="1"/>
  <c r="E118" i="3"/>
  <c r="F12" i="20"/>
  <c r="J118" i="3"/>
  <c r="K118" i="3"/>
  <c r="D135" i="5"/>
  <c r="D233" i="5"/>
  <c r="D31" i="2"/>
  <c r="D60" i="2" s="1"/>
  <c r="F7" i="20"/>
  <c r="F29" i="4"/>
  <c r="E176" i="3" s="1"/>
  <c r="D175" i="5"/>
  <c r="E158" i="3"/>
  <c r="F57" i="26" s="1"/>
  <c r="E168" i="3"/>
  <c r="E54" i="4"/>
  <c r="E151" i="3"/>
  <c r="E152" i="3"/>
  <c r="F66" i="26"/>
  <c r="F44" i="4"/>
  <c r="H44" i="4" s="1"/>
  <c r="E55" i="4"/>
  <c r="E144" i="3"/>
  <c r="E53" i="4"/>
  <c r="H54" i="4"/>
  <c r="E172" i="3"/>
  <c r="H33" i="27" s="1"/>
  <c r="E154" i="3"/>
  <c r="J154" i="3" s="1"/>
  <c r="K154" i="3" s="1"/>
  <c r="H58" i="27" l="1"/>
  <c r="H64" i="26"/>
  <c r="H50" i="26"/>
  <c r="H14" i="27"/>
  <c r="H31" i="24"/>
  <c r="H33" i="24" s="1"/>
  <c r="F39" i="24"/>
  <c r="H51" i="24"/>
  <c r="H53" i="24" s="1"/>
  <c r="E5" i="4"/>
  <c r="J126" i="3"/>
  <c r="K126" i="3" s="1"/>
  <c r="F9" i="20"/>
  <c r="F21" i="4"/>
  <c r="D12" i="5"/>
  <c r="H20" i="27"/>
  <c r="F56" i="26"/>
  <c r="F58" i="26" s="1"/>
  <c r="F35" i="26"/>
  <c r="F49" i="26"/>
  <c r="D177" i="5"/>
  <c r="D86" i="2"/>
  <c r="F64" i="22"/>
  <c r="F67" i="22" s="1"/>
  <c r="F70" i="22" s="1"/>
  <c r="F27" i="25"/>
  <c r="E167" i="3"/>
  <c r="H45" i="27"/>
  <c r="H46" i="27" s="1"/>
  <c r="H53" i="4"/>
  <c r="E175" i="3"/>
  <c r="D167" i="5"/>
  <c r="D187" i="5"/>
  <c r="H28" i="25"/>
  <c r="F63" i="23"/>
  <c r="E124" i="3"/>
  <c r="J124" i="3" s="1"/>
  <c r="K124" i="3" s="1"/>
  <c r="E145" i="3"/>
  <c r="E173" i="3"/>
  <c r="E52" i="4"/>
  <c r="D152" i="5"/>
  <c r="E166" i="3"/>
  <c r="E140" i="3"/>
  <c r="F37" i="20"/>
  <c r="F22" i="20"/>
  <c r="E177" i="3"/>
  <c r="E157" i="3"/>
  <c r="D88" i="5"/>
  <c r="E18" i="3"/>
  <c r="H59" i="27"/>
  <c r="E169" i="3"/>
  <c r="E139" i="3"/>
  <c r="E171" i="3"/>
  <c r="F54" i="4"/>
  <c r="E170" i="3"/>
  <c r="D188" i="5"/>
  <c r="F50" i="4"/>
  <c r="H50" i="4" s="1"/>
  <c r="F38" i="4"/>
  <c r="H38" i="4" s="1"/>
  <c r="E143" i="3"/>
  <c r="F53" i="4"/>
  <c r="F52" i="26"/>
  <c r="E149" i="3"/>
  <c r="E153" i="3"/>
  <c r="E174" i="3"/>
  <c r="E159" i="3"/>
  <c r="F71" i="26" s="1"/>
  <c r="E63" i="22"/>
  <c r="E150" i="3"/>
  <c r="E146" i="3"/>
  <c r="F42" i="4"/>
  <c r="H42" i="4" s="1"/>
  <c r="E138" i="3"/>
  <c r="D160" i="5"/>
  <c r="E155" i="3"/>
  <c r="E142" i="3"/>
  <c r="E141" i="3"/>
  <c r="F55" i="4"/>
  <c r="H43" i="25"/>
  <c r="E98" i="3"/>
  <c r="D48" i="8"/>
  <c r="F18" i="23"/>
  <c r="F30" i="23" s="1"/>
  <c r="F52" i="23" s="1"/>
  <c r="F65" i="23" s="1"/>
  <c r="F70" i="23" s="1"/>
  <c r="D74" i="5"/>
  <c r="D184" i="5" l="1"/>
  <c r="D85" i="2"/>
  <c r="D183" i="5" s="1"/>
  <c r="H21" i="27"/>
  <c r="E32" i="27" s="1"/>
  <c r="H32" i="27" s="1"/>
  <c r="H34" i="27" s="1"/>
  <c r="H49" i="26"/>
  <c r="H51" i="26" s="1"/>
  <c r="F53" i="26"/>
  <c r="F34" i="4"/>
  <c r="H34" i="4" s="1"/>
  <c r="E59" i="3"/>
  <c r="J59" i="3" s="1"/>
  <c r="K59" i="3" s="1"/>
  <c r="E92" i="3"/>
  <c r="E14" i="3"/>
  <c r="F20" i="20" s="1"/>
  <c r="E15" i="3"/>
  <c r="E64" i="3"/>
  <c r="J64" i="3" s="1"/>
  <c r="K64" i="3" s="1"/>
  <c r="D79" i="5"/>
  <c r="E79" i="3"/>
  <c r="E85" i="3"/>
  <c r="B29" i="4"/>
  <c r="F32" i="4"/>
  <c r="H32" i="4" s="1"/>
  <c r="E93" i="3"/>
  <c r="E84" i="3"/>
  <c r="F46" i="20" s="1"/>
  <c r="E65" i="3"/>
  <c r="J65" i="3" s="1"/>
  <c r="K65" i="3" s="1"/>
  <c r="E86" i="3"/>
  <c r="E63" i="3"/>
  <c r="E87" i="3"/>
  <c r="E62" i="3"/>
  <c r="E78" i="3"/>
  <c r="F42" i="20" s="1"/>
  <c r="E80" i="3"/>
  <c r="E91" i="3"/>
  <c r="E66" i="3"/>
  <c r="J66" i="3" s="1"/>
  <c r="K66" i="3" s="1"/>
  <c r="F63" i="26"/>
  <c r="F70" i="26"/>
  <c r="F72" i="26" s="1"/>
  <c r="H60" i="27"/>
  <c r="H47" i="24"/>
  <c r="H49" i="24" s="1"/>
  <c r="H39" i="24"/>
  <c r="H41" i="24" s="1"/>
  <c r="H27" i="25"/>
  <c r="H29" i="25" s="1"/>
  <c r="E27" i="25"/>
  <c r="E31" i="25" s="1"/>
  <c r="F42" i="25"/>
  <c r="H42" i="25" s="1"/>
  <c r="H44" i="25" s="1"/>
  <c r="J62" i="3" l="1"/>
  <c r="K62" i="3" s="1"/>
  <c r="F21" i="20"/>
  <c r="H63" i="26"/>
  <c r="H65" i="26" s="1"/>
  <c r="F67" i="26"/>
  <c r="K178" i="3"/>
  <c r="E36" i="25"/>
  <c r="H36" i="25" s="1"/>
  <c r="H38" i="25" s="1"/>
  <c r="H31" i="25"/>
  <c r="H33" i="25" s="1"/>
  <c r="H5" i="4" l="1"/>
  <c r="B58" i="4"/>
  <c r="B57" i="4"/>
  <c r="F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s>
  <commentList>
    <comment ref="H46" authorId="0" shapeId="0" xr:uid="{00000000-0006-0000-0000-000001000000}">
      <text>
        <r>
          <rPr>
            <b/>
            <sz val="8"/>
            <color indexed="81"/>
            <rFont val="Tahoma"/>
            <family val="2"/>
          </rPr>
          <t>Es muss die Frage beantwortet werden, ob der Wohnungsbesitz des Unternehmens überwiegend dicht beieinander oder sehr verteilt liegt. Ein Indiez für einen dicht beieinander liegenden Grundbesitz könnte sein, wenn sich die Wohnungen, bis auf wenige Ausnahmen (&lt;5%) innerhalb einer Kommune befinden.</t>
        </r>
        <r>
          <rPr>
            <sz val="8"/>
            <color indexed="81"/>
            <rFont val="Tahoma"/>
            <family val="2"/>
          </rPr>
          <t xml:space="preserve">
</t>
        </r>
      </text>
    </comment>
    <comment ref="D71" authorId="1" shapeId="0" xr:uid="{00000000-0006-0000-0000-000002000000}">
      <text>
        <r>
          <rPr>
            <b/>
            <sz val="8"/>
            <color indexed="81"/>
            <rFont val="Tahoma"/>
            <family val="2"/>
          </rPr>
          <t>Umfassende Modernisierungsmaßnahmen kommen einem Neubau fast gleich. 
Indizien: Entmietung, Entkernung</t>
        </r>
      </text>
    </comment>
    <comment ref="H89" authorId="1" shapeId="0" xr:uid="{00000000-0006-0000-0000-000003000000}">
      <text>
        <r>
          <rPr>
            <b/>
            <sz val="8"/>
            <color indexed="81"/>
            <rFont val="Tahoma"/>
            <family val="2"/>
          </rPr>
          <t>01 vdw Niedersachsen Bremen
02 VdW Rheinland Westfalen
03 vdw Sachsen
04 VNW
05 vdwg Sachsen Anhalt (Genossenschaften)
06 vdw Sachsen Anhalt
07 vtw. Thüringen
08 VdW Südwest
09 Baden-Württemberg
10 Berlin
11 Bayern
30 ohne Verband</t>
        </r>
      </text>
    </comment>
    <comment ref="H91" authorId="1" shapeId="0" xr:uid="{00000000-0006-0000-0000-000004000000}">
      <text>
        <r>
          <rPr>
            <b/>
            <sz val="8"/>
            <color indexed="81"/>
            <rFont val="Tahoma"/>
            <family val="2"/>
          </rPr>
          <t>0101 Ostniedersachsen
0102 Nordwestniedersachsen
0103 Südniedersachsen
0104 Hannover/Braunschweig
0105 Bremen/Bremerhaven
0210 Ostwestfalen-Lippe
0211 Westfalen
0212 Niederrhein
0213 Ruhrgebiet
0214 Rheinschiene
0215 Rheinland-Pfalz
0216 Siegerland
0217 Sauerland
0301 LD-Dresden
0302 LD-Leipzig
0303 LD-Chemnitz
0401 Hamburg
0402 Schleswig-Holstein
0403 Mecklenburg-Vorpommern
0501 Halle
0502 Magdeburg
0503 Sachsen-Anhalt-Ost
0504 Sachsen-Anhalt-West
0506 Sachsen-Anhalt- Süd
0507 Altmark
0701 Nordthüringen
0702 Mittelthüringen
0703 Südthüringen
0704 Ostthüringen
0801 VdW Südwest
0901 Stuttgart-Stadt (AG I)
0902 Mittlerer Neckar (AG II)
0903 Nord/Ost (AG III)
0904 Westalb/Schwarzwald/Baar (AG IV)
0905 Bodensee/Oberland (AG V)
0906 Rhein/Neckar (AG VI)
0907 Mittelbaden (AG VII)
0908 Südlicher Oberrhein (AG VIII)
0909 Familienheim eG
1001 Berlin-Brandenburg
1101 Bayern</t>
        </r>
      </text>
    </comment>
    <comment ref="H96" authorId="1" shapeId="0" xr:uid="{00000000-0006-0000-0000-000005000000}">
      <text>
        <r>
          <rPr>
            <b/>
            <sz val="8"/>
            <color indexed="81"/>
            <rFont val="Tahoma"/>
            <family val="2"/>
          </rPr>
          <t xml:space="preserve">01 BadenWürttemberg
02 Bayern
03 Berlin
04 Brandenburg
05 Bremen
06 Hamburg
07 Hessen
08 Mecklenburg-Vorpommern
09 Niedersachsen
10 Nordrhein Westfalen
11 Rheinland Pfalz
12 Saarland
13 Sachsen 
14 Sachsen-Anhalt
15 Schleswig-Holstein
16 Thüringen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14" authorId="0" shapeId="0" xr:uid="{00000000-0006-0000-0A00-000001000000}">
      <text>
        <r>
          <rPr>
            <b/>
            <sz val="8"/>
            <color indexed="81"/>
            <rFont val="Tahoma"/>
            <family val="2"/>
          </rPr>
          <t>UE20 umfasst sowohl die Umsatzerlöse aus dem Verkauf von Grundstücken des UV, als auch die Umsatzerlöse aus dem Verkauf von AV, wenn diese nach dem Bruttoprinzip ausgewiesen werden. In diesen Fällen dürfen natürlich keine Erträge aus dem Abgang von AV-Grundstücken gezeigt werden, da sonst eine Doppelerfassung stattfindet.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62" authorId="0" shapeId="0" xr:uid="{00000000-0006-0000-0C00-000001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Veränderung der Eigenkapitalquote</t>
        </r>
        <r>
          <rPr>
            <b/>
            <sz val="8"/>
            <color indexed="81"/>
            <rFont val="Tahoma"/>
            <family val="2"/>
          </rPr>
          <t xml:space="preserve"> in den letzten drei Jahren:
a) Entwicklungsbeeinträchtigung : Rückgang &gt; 20%
b) Bestandgefährdung: Rückgang &gt; 33%
</t>
        </r>
        <r>
          <rPr>
            <b/>
            <sz val="8"/>
            <color indexed="10"/>
            <rFont val="Tahoma"/>
            <family val="2"/>
          </rPr>
          <t>Eigenkapitalquote</t>
        </r>
        <r>
          <rPr>
            <b/>
            <sz val="8"/>
            <color indexed="81"/>
            <rFont val="Tahoma"/>
            <family val="2"/>
          </rPr>
          <t>:
a) Entwicklungsbeeinträchtigung : 10% bis 15%
b) Bestandgefährdung: &lt; 10%</t>
        </r>
      </text>
    </comment>
    <comment ref="C70" authorId="0" shapeId="0" xr:uid="{00000000-0006-0000-0C00-000002000000}">
      <text>
        <r>
          <rPr>
            <sz val="8"/>
            <color indexed="81"/>
            <rFont val="Tahoma"/>
            <family val="2"/>
          </rPr>
          <t xml:space="preserve">Diese Definition der Liquidität entspricht der </t>
        </r>
        <r>
          <rPr>
            <b/>
            <sz val="8"/>
            <color indexed="81"/>
            <rFont val="Tahoma"/>
            <family val="2"/>
          </rPr>
          <t xml:space="preserve">Liquidität 1. Grades </t>
        </r>
        <r>
          <rPr>
            <sz val="8"/>
            <color indexed="81"/>
            <rFont val="Tahoma"/>
            <family val="2"/>
          </rPr>
          <t>aus der allgemeinen betriebswirtschaftlichen Literatur</t>
        </r>
      </text>
    </comment>
    <comment ref="E78" authorId="0" shapeId="0" xr:uid="{00000000-0006-0000-0C00-000003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E79" authorId="0" shapeId="0" xr:uid="{00000000-0006-0000-0C00-000004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E89" authorId="0" shapeId="0" xr:uid="{00000000-0006-0000-0C00-000005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Tilgungsquote</t>
        </r>
        <r>
          <rPr>
            <b/>
            <sz val="8"/>
            <color indexed="81"/>
            <rFont val="Tahoma"/>
            <family val="2"/>
          </rPr>
          <t>:
a) Entwicklungsbeeinträchtigung : &lt; 1,5
b) Bestandsgefährdung: &lt; 1</t>
        </r>
      </text>
    </comment>
    <comment ref="E90" authorId="0" shapeId="0" xr:uid="{00000000-0006-0000-0C00-000006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Tilgungsquote</t>
        </r>
        <r>
          <rPr>
            <b/>
            <sz val="8"/>
            <color indexed="81"/>
            <rFont val="Tahoma"/>
            <family val="2"/>
          </rPr>
          <t>:
a) Entwicklungsbeeinträchtigung : &lt; 1,5
b) Bestandsgefährdung: &lt; 1</t>
        </r>
      </text>
    </comment>
    <comment ref="C98" authorId="0" shapeId="0" xr:uid="{00000000-0006-0000-0C00-000007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C99" authorId="0" shapeId="0" xr:uid="{00000000-0006-0000-0C00-000008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E101" authorId="0" shapeId="0" xr:uid="{00000000-0006-0000-0C00-000009000000}">
      <text>
        <r>
          <rPr>
            <b/>
            <sz val="8"/>
            <color indexed="81"/>
            <rFont val="Tahoma"/>
            <family val="2"/>
          </rPr>
          <t>Diese Kennzahl betrifft nur Genossenschaften mit Spareinrichtungen</t>
        </r>
      </text>
    </comment>
    <comment ref="E124" authorId="0" shapeId="0" xr:uid="{00000000-0006-0000-0C00-00000A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Fluktuationsrate</t>
        </r>
        <r>
          <rPr>
            <b/>
            <sz val="8"/>
            <color indexed="81"/>
            <rFont val="Tahoma"/>
            <family val="2"/>
          </rPr>
          <t>:
a) Entwicklungsbeeinträchtigung : &gt;= 15%
b) Bestandsgefährdung: &gt;= 25%</t>
        </r>
        <r>
          <rPr>
            <sz val="8"/>
            <color indexed="81"/>
            <rFont val="Tahoma"/>
            <family val="2"/>
          </rPr>
          <t xml:space="preserve">
</t>
        </r>
      </text>
    </comment>
    <comment ref="E126" authorId="0" shapeId="0" xr:uid="{00000000-0006-0000-0C00-00000B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Leerstandsquote</t>
        </r>
        <r>
          <rPr>
            <b/>
            <sz val="8"/>
            <color indexed="81"/>
            <rFont val="Tahoma"/>
            <family val="2"/>
          </rPr>
          <t>:
a) Entwicklungsbeeinträchtigung : &gt;= 10%
b) Bestandsgefährdung: &gt;= 15%</t>
        </r>
      </text>
    </comment>
    <comment ref="E160" authorId="0" shapeId="0" xr:uid="{00000000-0006-0000-0C00-00000C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Zinsquote</t>
        </r>
        <r>
          <rPr>
            <b/>
            <sz val="8"/>
            <color indexed="81"/>
            <rFont val="Tahoma"/>
            <family val="2"/>
          </rPr>
          <t>:
a) Entwicklungsbeeinträchtigung : &gt;= 40%
b) Bestandsgefährdung: &gt;= 50%</t>
        </r>
      </text>
    </comment>
    <comment ref="E161" authorId="0" shapeId="0" xr:uid="{00000000-0006-0000-0C00-00000D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Kapitaldienstquote</t>
        </r>
        <r>
          <rPr>
            <b/>
            <sz val="8"/>
            <color indexed="81"/>
            <rFont val="Tahoma"/>
            <family val="2"/>
          </rPr>
          <t>:
a) Entwicklungsbeeinträchtigung : &gt;= 50%
b) Bestandsgefährdung: &gt;= 65%</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6" authorId="0" shapeId="0" xr:uid="{00000000-0006-0000-0D00-000001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Veränderung der Eigenkapitalquote</t>
        </r>
        <r>
          <rPr>
            <b/>
            <sz val="8"/>
            <color indexed="81"/>
            <rFont val="Tahoma"/>
            <family val="2"/>
          </rPr>
          <t xml:space="preserve"> in den letzten drei Jahren:
a) Entwicklungsbeeinträchtigung : Rückgang &gt; 20%
b) Bestandgefährdung: Rückgang &gt; 33%
</t>
        </r>
        <r>
          <rPr>
            <b/>
            <sz val="8"/>
            <color indexed="10"/>
            <rFont val="Tahoma"/>
            <family val="2"/>
          </rPr>
          <t>Eigenkapitalquote</t>
        </r>
        <r>
          <rPr>
            <b/>
            <sz val="8"/>
            <color indexed="81"/>
            <rFont val="Tahoma"/>
            <family val="2"/>
          </rPr>
          <t>:
a) Entwicklungsbeeinträchtigung : 10% bis 15%
b) Bestandgefährdung: &lt; 10%</t>
        </r>
      </text>
    </comment>
    <comment ref="B63" authorId="0" shapeId="0" xr:uid="{00000000-0006-0000-0D00-000002000000}">
      <text>
        <r>
          <rPr>
            <sz val="8"/>
            <color indexed="81"/>
            <rFont val="Tahoma"/>
            <family val="2"/>
          </rPr>
          <t xml:space="preserve">Diese Definition der Liquidität entspricht der </t>
        </r>
        <r>
          <rPr>
            <b/>
            <sz val="8"/>
            <color indexed="81"/>
            <rFont val="Tahoma"/>
            <family val="2"/>
          </rPr>
          <t xml:space="preserve">Liquidität 1. Grades </t>
        </r>
        <r>
          <rPr>
            <sz val="8"/>
            <color indexed="81"/>
            <rFont val="Tahoma"/>
            <family val="2"/>
          </rPr>
          <t>aus der allgemeinen betriebswirtschaftlichen Literatur</t>
        </r>
      </text>
    </comment>
    <comment ref="F70" authorId="0" shapeId="0" xr:uid="{00000000-0006-0000-0D00-000003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B91" authorId="0" shapeId="0" xr:uid="{00000000-0006-0000-0D00-000004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F114" authorId="0" shapeId="0" xr:uid="{00000000-0006-0000-0D00-000005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Fluktuationsrate</t>
        </r>
        <r>
          <rPr>
            <b/>
            <sz val="8"/>
            <color indexed="81"/>
            <rFont val="Tahoma"/>
            <family val="2"/>
          </rPr>
          <t>:
a) Entwicklungsbeeinträchtigung : &gt;= 15%
b) Bestandsgefährdung: &gt;= 25%</t>
        </r>
        <r>
          <rPr>
            <sz val="8"/>
            <color indexed="81"/>
            <rFont val="Tahoma"/>
            <family val="2"/>
          </rPr>
          <t xml:space="preserve">
</t>
        </r>
      </text>
    </comment>
    <comment ref="F116" authorId="0" shapeId="0" xr:uid="{00000000-0006-0000-0D00-000006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Leerstandsquote</t>
        </r>
        <r>
          <rPr>
            <b/>
            <sz val="8"/>
            <color indexed="81"/>
            <rFont val="Tahoma"/>
            <family val="2"/>
          </rPr>
          <t>:
a) Entwicklungsbeeinträchtigung : &gt;= 10%
b) Bestandsgefährdung: &gt;= 15%</t>
        </r>
      </text>
    </comment>
    <comment ref="B186" authorId="0" shapeId="0" xr:uid="{00000000-0006-0000-0D00-000007000000}">
      <text>
        <r>
          <rPr>
            <b/>
            <sz val="8"/>
            <color indexed="81"/>
            <rFont val="Tahoma"/>
            <family val="2"/>
          </rPr>
          <t xml:space="preserve">Im Zeitalter der Globalisierung sollen Firmen aus allen Teilen der Welt transparent und miteinander vergleichbar werden. Und dafür braucht man einheitliche Kennzahlen, beispielsweise das Ebitda. Die Abkürzung steht für "Earnings before interests, taxes, depreciation and amortization". Der mittelständische deutsche Unternehmer sagt dazu schlicht Rohgewinn, denn den Ausdruck "Gewinn vor Ertragssteuern, Abschreibungen und Amortisation" gab es in Deutschland bisher nicht. Den Globalisierern kommt es aber auf die Nuancen der Bilanzierung an. Die sollen möglichst international vergleichbar sein. Hinter Ebitda steht deshalb eine genaue Definition, denen sich alle Unternehmen, die nach internationalen Rechnungslegungsvorschriften bilanzieren, unterwerfen. Das Ebitda bezeichnet deshalb nicht nur den wirtschaftlichen Rohertrag eines Unternehmens, sondern auch die Art und Weise, wie dieser errechnet wird.
</t>
        </r>
      </text>
    </comment>
    <comment ref="B188" authorId="0" shapeId="0" xr:uid="{00000000-0006-0000-0D00-000008000000}">
      <text>
        <r>
          <rPr>
            <b/>
            <sz val="8"/>
            <color indexed="81"/>
            <rFont val="Tahoma"/>
            <family val="2"/>
          </rPr>
          <t xml:space="preserve">INTEREST COVERAGE = EBITDA / INTEREST
(Verschuldungstragfähigkeit = Ergebnis vor Zinsen, Abschreibungen und Ertragssteuern / Zinsen)
</t>
        </r>
      </text>
    </comment>
    <comment ref="B189" authorId="0" shapeId="0" xr:uid="{00000000-0006-0000-0D00-000009000000}">
      <text>
        <r>
          <rPr>
            <b/>
            <sz val="8"/>
            <color indexed="81"/>
            <rFont val="Tahoma"/>
            <family val="2"/>
          </rPr>
          <t xml:space="preserve">Abk. für Earnings Before Taxes. Das EBT entspricht dem Jahresüberschuss vor Steuern (inkl. außerordentlichem Ergebnis).
</t>
        </r>
      </text>
    </comment>
    <comment ref="B190" authorId="0" shapeId="0" xr:uid="{00000000-0006-0000-0D00-00000A000000}">
      <text>
        <r>
          <rPr>
            <b/>
            <sz val="8"/>
            <color indexed="81"/>
            <rFont val="Tahoma"/>
            <family val="2"/>
          </rPr>
          <t>Abk. für Earnings After Taxes. Das EAT entspricht dem Jahresüberschuss nach Steuern (inkl. außerordentlichem Ergebnis).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2" authorId="0" shapeId="0" xr:uid="{00000000-0006-0000-0E00-000001000000}">
      <text>
        <r>
          <rPr>
            <b/>
            <sz val="8"/>
            <color indexed="81"/>
            <rFont val="Tahoma"/>
            <family val="2"/>
          </rPr>
          <t xml:space="preserve">Im Zeitalter der Globalisierung sollen Firmen aus allen Teilen der Welt transparent und miteinander vergleichbar werden. Und dafür braucht man einheitliche Kennzahlen, beispielsweise das Ebitda. Die Abkürzung steht für "Earnings before interests, taxes, depreciation and amortization". Der mittelständische deutsche Unternehmer sagt dazu schlicht Rohgewinn, denn den Ausdruck "Gewinn vor Ertragssteuern, Abschreibungen und Amortisation" gab es in Deutschland bisher nicht. Den Globalisierern kommt es aber auf die Nuancen der Bilanzierung an. Die sollen möglichst international vergleichbar sein. Hinter Ebitda steht deshalb eine genaue Definition, denen sich alle Unternehmen, die nach internationalen Rechnungslegungsvorschriften bilanzieren, unterwerfen. Das Ebitda bezeichnet deshalb nicht nur den wirtschaftlichen Rohertrag eines Unternehmens, sondern auch die Art und Weise, wie dieser errechnet wird.
</t>
        </r>
      </text>
    </comment>
    <comment ref="D34" authorId="0" shapeId="0" xr:uid="{00000000-0006-0000-0E00-000002000000}">
      <text>
        <r>
          <rPr>
            <b/>
            <sz val="8"/>
            <color indexed="81"/>
            <rFont val="Tahoma"/>
            <family val="2"/>
          </rPr>
          <t xml:space="preserve">INTEREST COVERAGE = EBITDA / INTEREST
(Verschuldungstragfähigkeit = Ergebnis vor Zinsen, Abschreibungen und Ertragssteuern / Zinsen)
</t>
        </r>
      </text>
    </comment>
    <comment ref="D35" authorId="0" shapeId="0" xr:uid="{00000000-0006-0000-0E00-000003000000}">
      <text>
        <r>
          <rPr>
            <b/>
            <sz val="8"/>
            <color indexed="81"/>
            <rFont val="Tahoma"/>
            <family val="2"/>
          </rPr>
          <t xml:space="preserve">Abk. für Earnings Before Taxes. Das EBT entspricht dem Jahresüberschuss vor Steuern (inkl. außerordentlichem Ergebnis).
</t>
        </r>
      </text>
    </comment>
    <comment ref="D36" authorId="0" shapeId="0" xr:uid="{00000000-0006-0000-0E00-000004000000}">
      <text>
        <r>
          <rPr>
            <b/>
            <sz val="8"/>
            <color indexed="81"/>
            <rFont val="Tahoma"/>
            <family val="2"/>
          </rPr>
          <t>Abk. für Earnings After Taxes. Das EAT entspricht dem Jahresüberschuss nach Steuern (inkl. außerordentlichem Ergebnis).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Leistung</author>
  </authors>
  <commentList>
    <comment ref="F16" authorId="0" shapeId="0" xr:uid="{00000000-0006-0000-0F00-000001000000}">
      <text>
        <r>
          <rPr>
            <b/>
            <sz val="8"/>
            <color indexed="81"/>
            <rFont val="Tahoma"/>
            <family val="2"/>
          </rPr>
          <t xml:space="preserve">Bei Fehlermeldung: Bitte prüfen Sie, ob Sie auf Seite 1 das </t>
        </r>
        <r>
          <rPr>
            <b/>
            <sz val="8"/>
            <color indexed="12"/>
            <rFont val="Tahoma"/>
            <family val="2"/>
          </rPr>
          <t>Jahr der Erfassung</t>
        </r>
        <r>
          <rPr>
            <b/>
            <sz val="8"/>
            <color indexed="81"/>
            <rFont val="Tahoma"/>
            <family val="2"/>
          </rPr>
          <t xml:space="preserve"> angegeben haben</t>
        </r>
      </text>
    </comment>
    <comment ref="F17" authorId="0" shapeId="0" xr:uid="{00000000-0006-0000-0F00-000002000000}">
      <text>
        <r>
          <rPr>
            <b/>
            <sz val="8"/>
            <color indexed="81"/>
            <rFont val="Tahoma"/>
            <family val="2"/>
          </rPr>
          <t xml:space="preserve">Bei Fehlermeldung: Bitte prüfen Sie, ob Sie auf Seite 1 Ihr </t>
        </r>
        <r>
          <rPr>
            <b/>
            <sz val="8"/>
            <color indexed="12"/>
            <rFont val="Tahoma"/>
            <family val="2"/>
          </rPr>
          <t>Unternehmen</t>
        </r>
        <r>
          <rPr>
            <b/>
            <sz val="8"/>
            <color indexed="81"/>
            <rFont val="Tahoma"/>
            <family val="2"/>
          </rPr>
          <t xml:space="preserve"> benannt haben.</t>
        </r>
      </text>
    </comment>
    <comment ref="F18" authorId="1" shapeId="0" xr:uid="{00000000-0006-0000-0F00-000003000000}">
      <text>
        <r>
          <rPr>
            <b/>
            <sz val="8"/>
            <color indexed="81"/>
            <rFont val="Tahoma"/>
            <family val="2"/>
          </rPr>
          <t xml:space="preserve">Bei Fehlermeldung: Bitte prüfen Sie, ob Sie auf Seite 1 die </t>
        </r>
        <r>
          <rPr>
            <b/>
            <sz val="8"/>
            <color indexed="12"/>
            <rFont val="Tahoma"/>
            <family val="2"/>
          </rPr>
          <t>Bilanzierungsform</t>
        </r>
        <r>
          <rPr>
            <b/>
            <sz val="8"/>
            <color indexed="81"/>
            <rFont val="Tahoma"/>
            <family val="2"/>
          </rPr>
          <t xml:space="preserve"> Ihres Unternehmens benannt haben.</t>
        </r>
      </text>
    </comment>
    <comment ref="F19" authorId="0" shapeId="0" xr:uid="{00000000-0006-0000-0F00-000004000000}">
      <text>
        <r>
          <rPr>
            <b/>
            <sz val="8"/>
            <color indexed="81"/>
            <rFont val="Tahoma"/>
            <family val="2"/>
          </rPr>
          <t xml:space="preserve">Bei Fehlermeldung: Bitte prüfen Sie, ob Sie </t>
        </r>
        <r>
          <rPr>
            <b/>
            <sz val="8"/>
            <color indexed="12"/>
            <rFont val="Tahoma"/>
            <family val="2"/>
          </rPr>
          <t>Ihren Namen</t>
        </r>
        <r>
          <rPr>
            <b/>
            <sz val="8"/>
            <color indexed="81"/>
            <rFont val="Tahoma"/>
            <family val="2"/>
          </rPr>
          <t xml:space="preserve"> auf Seite 1 angegeben haben</t>
        </r>
      </text>
    </comment>
    <comment ref="F20" authorId="0" shapeId="0" xr:uid="{00000000-0006-0000-0F00-000005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die </t>
        </r>
        <r>
          <rPr>
            <b/>
            <sz val="8"/>
            <color indexed="12"/>
            <rFont val="Tahoma"/>
            <family val="2"/>
          </rPr>
          <t>Rechtsform Ihres Unternehmens</t>
        </r>
        <r>
          <rPr>
            <b/>
            <sz val="8"/>
            <color indexed="81"/>
            <rFont val="Tahoma"/>
            <family val="2"/>
          </rPr>
          <t xml:space="preserve"> korrekt eingetragen haben.
</t>
        </r>
      </text>
    </comment>
    <comment ref="F21" authorId="0" shapeId="0" xr:uid="{00000000-0006-0000-0F00-000006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2 die </t>
        </r>
        <r>
          <rPr>
            <b/>
            <sz val="8"/>
            <color indexed="12"/>
            <rFont val="Tahoma"/>
            <family val="2"/>
          </rPr>
          <t>Wohnungsbestände Ihres Unternehmens</t>
        </r>
        <r>
          <rPr>
            <b/>
            <sz val="8"/>
            <color indexed="81"/>
            <rFont val="Tahoma"/>
            <family val="2"/>
          </rPr>
          <t xml:space="preserve"> korrekt angegeben haben.</t>
        </r>
      </text>
    </comment>
    <comment ref="F22" authorId="0" shapeId="0" xr:uid="{00000000-0006-0000-0F00-000007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angegeben haben, ob Sie über einen </t>
        </r>
        <r>
          <rPr>
            <b/>
            <sz val="8"/>
            <color indexed="12"/>
            <rFont val="Tahoma"/>
            <family val="2"/>
          </rPr>
          <t>eigenen Regiebetrieb verfügen</t>
        </r>
        <r>
          <rPr>
            <b/>
            <sz val="8"/>
            <color indexed="81"/>
            <rFont val="Tahoma"/>
            <family val="2"/>
          </rPr>
          <t>.</t>
        </r>
      </text>
    </comment>
    <comment ref="F23" authorId="0" shapeId="0" xr:uid="{00000000-0006-0000-0F00-000008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t>
        </r>
        <r>
          <rPr>
            <b/>
            <sz val="8"/>
            <color indexed="12"/>
            <rFont val="Tahoma"/>
            <family val="2"/>
          </rPr>
          <t>Angaben zu Ihrer Bautätigkeit im Berichtsjahr</t>
        </r>
        <r>
          <rPr>
            <b/>
            <sz val="8"/>
            <color indexed="81"/>
            <rFont val="Tahoma"/>
            <family val="2"/>
          </rPr>
          <t xml:space="preserve"> gemacht haben.</t>
        </r>
      </text>
    </comment>
    <comment ref="F24" authorId="0" shapeId="0" xr:uid="{00000000-0006-0000-0F00-000009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angegeben haben, </t>
        </r>
        <r>
          <rPr>
            <b/>
            <sz val="8"/>
            <color indexed="12"/>
            <rFont val="Tahoma"/>
            <family val="2"/>
          </rPr>
          <t>in welcher Form Personal für Ihr Unternehmen tätig</t>
        </r>
        <r>
          <rPr>
            <b/>
            <sz val="8"/>
            <color indexed="81"/>
            <rFont val="Tahoma"/>
            <family val="2"/>
          </rPr>
          <t xml:space="preserve"> wird.</t>
        </r>
      </text>
    </comment>
    <comment ref="F25" authorId="0" shapeId="0" xr:uid="{00000000-0006-0000-0F00-00000A000000}">
      <text>
        <r>
          <rPr>
            <b/>
            <sz val="8"/>
            <color indexed="10"/>
            <rFont val="Tahoma"/>
            <family val="2"/>
          </rPr>
          <t>WICHTIG!</t>
        </r>
        <r>
          <rPr>
            <b/>
            <sz val="8"/>
            <color indexed="81"/>
            <rFont val="Tahoma"/>
            <family val="2"/>
          </rPr>
          <t xml:space="preserve"> Bei einer Fehlermeldung hier, prüfen Sie bitte, ob Sie angegeben haben, </t>
        </r>
        <r>
          <rPr>
            <b/>
            <sz val="8"/>
            <color indexed="12"/>
            <rFont val="Tahoma"/>
            <family val="2"/>
          </rPr>
          <t>zu welchem Verband Ihr Unternehmen gehört</t>
        </r>
        <r>
          <rPr>
            <b/>
            <sz val="8"/>
            <color indexed="81"/>
            <rFont val="Tahoma"/>
            <family val="2"/>
          </rPr>
          <t>. Diese Information enthält u. a. auch das Begleitschreiben zum Betriebsvergleich.</t>
        </r>
        <r>
          <rPr>
            <sz val="8"/>
            <color indexed="81"/>
            <rFont val="Tahoma"/>
            <family val="2"/>
          </rPr>
          <t xml:space="preserve">
</t>
        </r>
      </text>
    </comment>
    <comment ref="F26" authorId="0" shapeId="0" xr:uid="{00000000-0006-0000-0F00-00000B000000}">
      <text>
        <r>
          <rPr>
            <b/>
            <sz val="8"/>
            <color indexed="10"/>
            <rFont val="Tahoma"/>
            <family val="2"/>
          </rPr>
          <t>WICHTIG!</t>
        </r>
        <r>
          <rPr>
            <b/>
            <sz val="8"/>
            <color indexed="81"/>
            <rFont val="Tahoma"/>
            <family val="2"/>
          </rPr>
          <t xml:space="preserve"> Ohne die Angabe der siebenstelligen </t>
        </r>
        <r>
          <rPr>
            <b/>
            <sz val="8"/>
            <color indexed="12"/>
            <rFont val="Tahoma"/>
            <family val="2"/>
          </rPr>
          <t>Unternehmensnummer</t>
        </r>
        <r>
          <rPr>
            <b/>
            <sz val="8"/>
            <color indexed="81"/>
            <rFont val="Tahoma"/>
            <family val="2"/>
          </rPr>
          <t xml:space="preserve"> auf Seite 1 kann eine Verarbeitung der Daten Ihres Unternehmens nicht erfolgen. Sie finden diese Angabe in Ihrem Begleitschreiben zum Betriebsvergleich.</t>
        </r>
      </text>
    </comment>
    <comment ref="H31" authorId="1" shapeId="0" xr:uid="{00000000-0006-0000-0F00-00000C000000}">
      <text>
        <r>
          <rPr>
            <b/>
            <sz val="8"/>
            <color indexed="81"/>
            <rFont val="Tahoma"/>
            <family val="2"/>
          </rPr>
          <t>Bei einer Fehlermeldung entsprechen die Einzelpositionen des Anlagevermögens nicht der Angabe des gesamten Anlagevermögens.</t>
        </r>
      </text>
    </comment>
    <comment ref="H32" authorId="1" shapeId="0" xr:uid="{00000000-0006-0000-0F00-00000D000000}">
      <text>
        <r>
          <rPr>
            <b/>
            <sz val="8"/>
            <color indexed="81"/>
            <rFont val="Tahoma"/>
            <family val="2"/>
          </rPr>
          <t>Bei einer Fehlermeldung weisen die Aktiv- und Passivseite unterschiedliche Werte auf. Bitte prüfen Sie die Angaben zu den Vermögens- und Kapitalpositionen.</t>
        </r>
      </text>
    </comment>
    <comment ref="H34" authorId="1" shapeId="0" xr:uid="{00000000-0006-0000-0F00-00000E000000}">
      <text>
        <r>
          <rPr>
            <b/>
            <sz val="8"/>
            <color indexed="81"/>
            <rFont val="Tahoma"/>
            <family val="2"/>
          </rPr>
          <t>Bei einer Fehlermeldung entsprechen die Einzelangaben zu den Kapitalpositionen (Passivseite der Bilanz) nicht der Angabe des Gesamtkapitals (Bilanzsumme). Bitte prüfen Sie die Angaben der einzelnen Positionen.</t>
        </r>
      </text>
    </comment>
    <comment ref="B57" authorId="2" shapeId="0" xr:uid="{00000000-0006-0000-0F00-00000F000000}">
      <text>
        <r>
          <rPr>
            <b/>
            <sz val="8"/>
            <color indexed="81"/>
            <rFont val="Tahoma"/>
            <family val="2"/>
          </rPr>
          <t>Leistung:</t>
        </r>
        <r>
          <rPr>
            <sz val="8"/>
            <color indexed="81"/>
            <rFont val="Tahoma"/>
            <family val="2"/>
          </rPr>
          <t xml:space="preserve">
Kontrollfeld</t>
        </r>
      </text>
    </comment>
    <comment ref="B58" authorId="2" shapeId="0" xr:uid="{00000000-0006-0000-0F00-000010000000}">
      <text>
        <r>
          <rPr>
            <b/>
            <sz val="8"/>
            <color indexed="81"/>
            <rFont val="Tahoma"/>
            <family val="2"/>
          </rPr>
          <t>Leistung:</t>
        </r>
        <r>
          <rPr>
            <sz val="8"/>
            <color indexed="81"/>
            <rFont val="Tahoma"/>
            <family val="2"/>
          </rPr>
          <t xml:space="preserve">
Kontrollfeld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s>
  <commentList>
    <comment ref="D12" authorId="0" shapeId="0" xr:uid="{00000000-0006-0000-0100-000001000000}">
      <text>
        <r>
          <rPr>
            <b/>
            <sz val="8"/>
            <color indexed="81"/>
            <rFont val="Tahoma"/>
            <family val="2"/>
          </rPr>
          <t>Bitte die gesamte Anzahl eingeben, die Anzahl Garagen und Stellplätze werden bei der Berechnung der Formeln automatisch auf 1/7 gekürzt</t>
        </r>
      </text>
    </comment>
    <comment ref="D14" authorId="0" shapeId="0" xr:uid="{00000000-0006-0000-0100-000002000000}">
      <text>
        <r>
          <rPr>
            <b/>
            <sz val="8"/>
            <color indexed="81"/>
            <rFont val="Tahoma"/>
            <family val="2"/>
          </rPr>
          <t>Bitte die gesamte Anzahl eingeben, die Anzahl der Pachtverträge wird bei der Berechnung der Formeln automatisch auf 1/12 gekürzt.
Hierbei handelt es sich um eine Besonderheit in den neuen Bundesländern: Mietereigene Garagen bzw. Gärten, die auf Grundstücken des Wohnungsunternehmens erreichtet wurden.</t>
        </r>
      </text>
    </comment>
    <comment ref="D18" authorId="0" shapeId="0" xr:uid="{00000000-0006-0000-0100-000003000000}">
      <text>
        <r>
          <rPr>
            <b/>
            <sz val="8"/>
            <color indexed="81"/>
            <rFont val="Tahoma"/>
            <family val="2"/>
          </rPr>
          <t>Bitte die gesamte Anzahl eingeben, die Anzahl Garagen und Stellplätze werden bei der Berechnung der Formeln automatisch auf 1/7 gekürzt</t>
        </r>
      </text>
    </comment>
    <comment ref="D20" authorId="0" shapeId="0" xr:uid="{00000000-0006-0000-0100-000004000000}">
      <text>
        <r>
          <rPr>
            <b/>
            <sz val="8"/>
            <color indexed="81"/>
            <rFont val="Tahoma"/>
            <family val="2"/>
          </rPr>
          <t>Bitte die gesamte Anzahl eingeben, die Anzahl der Pachtverträge wird bei der Berechnung der Formeln automatisch auf 1/12 gekürzt</t>
        </r>
      </text>
    </comment>
    <comment ref="D24" authorId="0" shapeId="0" xr:uid="{00000000-0006-0000-0100-000005000000}">
      <text>
        <r>
          <rPr>
            <b/>
            <sz val="8"/>
            <color indexed="81"/>
            <rFont val="Tahoma"/>
            <family val="2"/>
          </rPr>
          <t>Bitte die gesamte Anzahl eingeben, die Anzahl Garagen und Stellplätze werden bei der Berechnung der Formeln automatisch auf 1/7 gekürzt</t>
        </r>
      </text>
    </comment>
    <comment ref="B27" authorId="1" shapeId="0" xr:uid="{00000000-0006-0000-0100-000006000000}">
      <text>
        <r>
          <rPr>
            <b/>
            <sz val="8"/>
            <color indexed="81"/>
            <rFont val="Tahoma"/>
            <family val="2"/>
          </rPr>
          <t>Zur Vereinfachung beziehen Sie diese Quote bitte auf Wohnungen.</t>
        </r>
      </text>
    </comment>
    <comment ref="D37" authorId="1" shapeId="0" xr:uid="{00000000-0006-0000-0100-000007000000}">
      <text>
        <r>
          <rPr>
            <b/>
            <sz val="8"/>
            <color indexed="81"/>
            <rFont val="Tahoma"/>
            <family val="2"/>
          </rPr>
          <t xml:space="preserve">bezogen auf den Bestand, der in der Sollmietstellung einbezogen ist
</t>
        </r>
        <r>
          <rPr>
            <b/>
            <sz val="8"/>
            <color indexed="10"/>
            <rFont val="Tahoma"/>
            <family val="2"/>
          </rPr>
          <t>Entweder durchschnittlich im Geschäftsjahr oder Leerstand am 31.12. eines Geschäftsjahres</t>
        </r>
      </text>
    </comment>
    <comment ref="B51" authorId="0" shapeId="0" xr:uid="{00000000-0006-0000-0100-000008000000}">
      <text>
        <r>
          <rPr>
            <b/>
            <sz val="8"/>
            <color indexed="81"/>
            <rFont val="Tahoma"/>
            <family val="2"/>
          </rPr>
          <t>Diese Angabe ist notwendig, um eine reine Sollmiete für Wohnzwecke darstellen zu können. Vgl. auch korrespondierende Angabe UE05</t>
        </r>
        <r>
          <rPr>
            <sz val="8"/>
            <color indexed="81"/>
            <rFont val="Tahoma"/>
            <family val="2"/>
          </rPr>
          <t xml:space="preserve">
</t>
        </r>
      </text>
    </comment>
    <comment ref="B56" authorId="0" shapeId="0" xr:uid="{00000000-0006-0000-0100-000009000000}">
      <text>
        <r>
          <rPr>
            <b/>
            <sz val="8"/>
            <color indexed="81"/>
            <rFont val="Tahoma"/>
            <family val="2"/>
          </rPr>
          <t>Diese Angabe ist notwendig, um eine reine Sollmiete für Wohnzwecke darstellen zu können. Vgl. auch korrespondierende Angabe UE05</t>
        </r>
        <r>
          <rPr>
            <sz val="8"/>
            <color indexed="81"/>
            <rFont val="Tahoma"/>
            <family val="2"/>
          </rPr>
          <t xml:space="preserve">
</t>
        </r>
      </text>
    </comment>
    <comment ref="D60" authorId="1" shapeId="0" xr:uid="{00000000-0006-0000-0100-00000A000000}">
      <text>
        <r>
          <rPr>
            <b/>
            <sz val="8"/>
            <color indexed="81"/>
            <rFont val="Tahoma"/>
            <family val="2"/>
          </rPr>
          <t>Neubaumaßnahmen und Umbau- bzw. Modernisierungsmaßnahmen, die einer Neumaßnahme vom Aufwand her entsprechen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3" authorId="0" shapeId="0" xr:uid="{00000000-0006-0000-0200-000001000000}">
      <text>
        <r>
          <rPr>
            <b/>
            <sz val="8"/>
            <color indexed="81"/>
            <rFont val="Tahoma"/>
            <family val="2"/>
          </rPr>
          <t>Investitionen ohne Änderungen nach DMBilG und Zuschreibungen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schmidt</author>
    <author>Holger Schmidt</author>
    <author xml:space="preserve"> </author>
  </authors>
  <commentList>
    <comment ref="D9" authorId="0" shapeId="0" xr:uid="{00000000-0006-0000-0400-000001000000}">
      <text>
        <r>
          <rPr>
            <b/>
            <sz val="8"/>
            <color indexed="81"/>
            <rFont val="Tahoma"/>
            <family val="2"/>
          </rPr>
          <t>Besonderheit: Hier nicht die Verbindlichkeiten unter 1 Jahr (gemäß Verbindlichkeitenspiegel) herausrechnen, sondern die gesamte Position angeben.</t>
        </r>
      </text>
    </comment>
    <comment ref="D10" authorId="0" shapeId="0" xr:uid="{00000000-0006-0000-0400-000002000000}">
      <text>
        <r>
          <rPr>
            <b/>
            <sz val="8"/>
            <color indexed="81"/>
            <rFont val="Tahoma"/>
            <family val="2"/>
          </rPr>
          <t>Besonderheit: Hier nicht die Verbindlichkeiten unter 1 Jahr (gemäß Verbindlichkeitenspiegel) herausrechnen, sondern die gesamte Position angeben.</t>
        </r>
      </text>
    </comment>
    <comment ref="D11" authorId="1" shapeId="0" xr:uid="{00000000-0006-0000-0400-000003000000}">
      <text>
        <r>
          <rPr>
            <b/>
            <sz val="8"/>
            <color indexed="81"/>
            <rFont val="Tahoma"/>
            <family val="2"/>
          </rPr>
          <t>Diese Sachverhalte sind relativ selten, aber wenn, sind diese Posten i. d. R. in der Position "Sonstige Verbindlichkeiten" enthalten</t>
        </r>
      </text>
    </comment>
    <comment ref="D23" authorId="1" shapeId="0" xr:uid="{00000000-0006-0000-0400-000004000000}">
      <text>
        <r>
          <rPr>
            <b/>
            <sz val="8"/>
            <color indexed="81"/>
            <rFont val="Tahoma"/>
            <family val="2"/>
          </rPr>
          <t>i.d.R. nur bei umfangreichen zum Verkauf bestimmten Grundstücken vorhanden</t>
        </r>
      </text>
    </comment>
    <comment ref="D24" authorId="1" shapeId="0" xr:uid="{00000000-0006-0000-0400-000005000000}">
      <text>
        <r>
          <rPr>
            <b/>
            <sz val="8"/>
            <color indexed="81"/>
            <rFont val="Tahoma"/>
            <family val="2"/>
          </rPr>
          <t>i.d.R. nur bei umfangreichen zum Verkauf bestimmten Grundstücken vorhanden</t>
        </r>
      </text>
    </comment>
    <comment ref="D31" authorId="1" shapeId="0" xr:uid="{00000000-0006-0000-0400-000006000000}">
      <text>
        <r>
          <rPr>
            <b/>
            <sz val="8"/>
            <color indexed="81"/>
            <rFont val="Tahoma"/>
            <family val="2"/>
          </rPr>
          <t>nur bei Genossenschaften mit Spareinrichtungen</t>
        </r>
      </text>
    </comment>
    <comment ref="D34" authorId="1" shapeId="0" xr:uid="{00000000-0006-0000-0400-000007000000}">
      <text>
        <r>
          <rPr>
            <b/>
            <sz val="8"/>
            <color indexed="81"/>
            <rFont val="Tahoma"/>
            <family val="2"/>
          </rPr>
          <t>Z. B. Verbindlichkeiten aus Garantiebeträgen oder andere Verbindlichkeiten mit einer Restlaufzeit &gt; 1 Jahr</t>
        </r>
      </text>
    </comment>
    <comment ref="D39" authorId="2" shapeId="0" xr:uid="{00000000-0006-0000-0400-000008000000}">
      <text>
        <r>
          <rPr>
            <b/>
            <sz val="8"/>
            <color indexed="81"/>
            <rFont val="Tahoma"/>
            <family val="2"/>
          </rPr>
          <t>Spareinlagen die im kommenden Geschäftsjahr fällig sind.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Holger Schmidt</author>
  </authors>
  <commentList>
    <comment ref="D12" authorId="0" shapeId="0" xr:uid="{00000000-0006-0000-0500-000001000000}">
      <text>
        <r>
          <rPr>
            <b/>
            <sz val="8"/>
            <color indexed="81"/>
            <rFont val="Tahoma"/>
            <family val="2"/>
          </rPr>
          <t>Falls die Werte "Erlösschmälerung wegen fehlenender Anschlussvermietung" und "Erlösschmälerung wegen Modernisierung/Verkauf" nicht getrennt geliefert werden können, können sie auch gesammt im Feld ES11 eingetragen werden.</t>
        </r>
      </text>
    </comment>
    <comment ref="B15" authorId="1" shapeId="0" xr:uid="{00000000-0006-0000-0500-000002000000}">
      <text>
        <r>
          <rPr>
            <b/>
            <sz val="8"/>
            <color indexed="81"/>
            <rFont val="Tahoma"/>
            <family val="2"/>
          </rPr>
          <t xml:space="preserve">Diese Angabe ist notwendig, um eine reine Sollmiete für Wohnzwecke darstellen zu können. Vgl. korrespondierende Angabe EN11
</t>
        </r>
      </text>
    </comment>
    <comment ref="D18" authorId="0" shapeId="0" xr:uid="{00000000-0006-0000-0500-000003000000}">
      <text>
        <r>
          <rPr>
            <b/>
            <sz val="8"/>
            <color indexed="81"/>
            <rFont val="Tahoma"/>
            <family val="2"/>
          </rPr>
          <t>Falls die Werte "Erlösschmälerung wegen fehlenender Anschlussvermietung" und "Erlösschmälerung wegen Modernisierung/Verkauf" nicht getrennt geliefert werden können, können sie auch gesammt im Feld ES11 eingetragen werden.</t>
        </r>
      </text>
    </comment>
    <comment ref="D19" authorId="0" shapeId="0" xr:uid="{00000000-0006-0000-0500-000004000000}">
      <text>
        <r>
          <rPr>
            <b/>
            <sz val="8"/>
            <color indexed="81"/>
            <rFont val="Tahoma"/>
            <family val="2"/>
          </rPr>
          <t>Gewollte Leerstände als Vorbereitung für Maßnahmen, wie z. B. Modernisierung, Verkauf</t>
        </r>
      </text>
    </comment>
    <comment ref="D36" authorId="0" shapeId="0" xr:uid="{00000000-0006-0000-0500-000005000000}">
      <text>
        <r>
          <rPr>
            <b/>
            <sz val="8"/>
            <color indexed="81"/>
            <rFont val="Tahoma"/>
            <family val="2"/>
          </rPr>
          <t xml:space="preserve">Diese Angabe ist </t>
        </r>
        <r>
          <rPr>
            <b/>
            <sz val="8"/>
            <color indexed="10"/>
            <rFont val="Tahoma"/>
            <family val="2"/>
          </rPr>
          <t>keine reguläre Bilanzposition</t>
        </r>
        <r>
          <rPr>
            <b/>
            <sz val="8"/>
            <color indexed="81"/>
            <rFont val="Tahoma"/>
            <family val="2"/>
          </rPr>
          <t>, da die Verkäufe von Grundstücken gemäß Formblattverordnung dem Nettoprinzip folgen (Ausweis unter der Position "Sonstige betriebliche Erträge" sowie Angabe im Anlagespiegel in der Abgangsspalte unter den Positionen betreffend die Grundstücke).
Die Bilanzierungspraxis geht häufig zu einem Bruttoausweis wie beim UV über.</t>
        </r>
      </text>
    </comment>
    <comment ref="D39" authorId="0" shapeId="0" xr:uid="{00000000-0006-0000-0500-000006000000}">
      <text>
        <r>
          <rPr>
            <b/>
            <sz val="8"/>
            <color indexed="81"/>
            <rFont val="Tahoma"/>
            <family val="2"/>
          </rPr>
          <t xml:space="preserve">Diese Ausweisvariante nach dem Nettoprinzip entspricht der FormblattVO für Verkäufe aus dem Anlagevermögen
</t>
        </r>
        <r>
          <rPr>
            <b/>
            <sz val="8"/>
            <color indexed="10"/>
            <rFont val="Tahoma"/>
            <family val="2"/>
          </rPr>
          <t>Es kann also nur ein Eintrag im Feld UE50 oder hier erfolgen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3" authorId="0" shapeId="0" xr:uid="{00000000-0006-0000-0600-000001000000}">
      <text>
        <r>
          <rPr>
            <b/>
            <sz val="8"/>
            <color indexed="81"/>
            <rFont val="Tahoma"/>
            <family val="2"/>
          </rPr>
          <t>z. B. Erstattungen durch Versicherungen oder Mieter</t>
        </r>
      </text>
    </comment>
    <comment ref="D37" authorId="0" shapeId="0" xr:uid="{00000000-0006-0000-0600-000002000000}">
      <text>
        <r>
          <rPr>
            <b/>
            <sz val="8"/>
            <color indexed="81"/>
            <rFont val="Tahoma"/>
            <family val="2"/>
          </rPr>
          <t>z. B. Versicherungserstattungen</t>
        </r>
      </text>
    </comment>
    <comment ref="D53" authorId="0" shapeId="0" xr:uid="{00000000-0006-0000-0600-000003000000}">
      <text>
        <r>
          <rPr>
            <b/>
            <sz val="8"/>
            <color indexed="81"/>
            <rFont val="Tahoma"/>
            <family val="2"/>
          </rPr>
          <t xml:space="preserve">Ggf. bestehende ungewöhnliche zahlungswirksame Erträge sind hier ebenfalls anzugeben, da der Cash Flow den Finanzstrom aus den gewöhnlichen Geschäftstätigkeiten angibt (z. B. einmalige Abfindungserträge).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author>
    <author>Holger Schmidt</author>
    <author xml:space="preserve"> </author>
  </authors>
  <commentList>
    <comment ref="D55" authorId="0" shapeId="0" xr:uid="{00000000-0006-0000-0700-000001000000}">
      <text>
        <r>
          <rPr>
            <b/>
            <sz val="8"/>
            <color indexed="81"/>
            <rFont val="Tahoma"/>
            <family val="2"/>
          </rPr>
          <t>I. d. R. planmäßige Abschreibungen auf Grundstücke und grundstücksgleiche Rechte mit Wohnbauten" sowie "Grundstücke und grundstücksgleiche Rechte mit anderen Bauten" u. a. Posten, die üblicherweise der Hausbewirtschaftung zugeordnet werden.</t>
        </r>
      </text>
    </comment>
    <comment ref="D57" authorId="0" shapeId="0" xr:uid="{00000000-0006-0000-0700-000002000000}">
      <text>
        <r>
          <rPr>
            <b/>
            <sz val="8"/>
            <color indexed="81"/>
            <rFont val="Tahoma"/>
            <family val="2"/>
          </rPr>
          <t>Gesonderter Ausweis in der GuV oder Anhangangabe 
(§§ 277 Abs. 3, 279 Abs. 1, 253 Abs. 2 Satz 3 HGB)</t>
        </r>
      </text>
    </comment>
    <comment ref="D65" authorId="1" shapeId="0" xr:uid="{00000000-0006-0000-0700-000003000000}">
      <text>
        <r>
          <rPr>
            <b/>
            <sz val="8"/>
            <color indexed="81"/>
            <rFont val="Tahoma"/>
            <family val="2"/>
          </rPr>
          <t>Äußerst selten: Es handelt sich um solche Abschreibungen, die gesetzlich nicht zwingend vorgeschrieben sind, da sie aufgrund von Bewertungswahlrechten vorgenommen werden. 
Hierzu gehören insbesondere Abschreibungen zur Berücksichtigung von Wertschwankungen der nächsten zukunft gem. § 253 Abs. 3 Satz 3 HGB.</t>
        </r>
      </text>
    </comment>
    <comment ref="D78" authorId="2" shapeId="0" xr:uid="{00000000-0006-0000-0700-000004000000}">
      <text>
        <r>
          <rPr>
            <b/>
            <sz val="8"/>
            <color indexed="81"/>
            <rFont val="Tahoma"/>
            <family val="2"/>
          </rPr>
          <t>z. B. Verwaltungskostenbeiträge für Aufwendungszuschüsse, Mieterfeste u.a.</t>
        </r>
      </text>
    </comment>
    <comment ref="D87" authorId="0" shapeId="0" xr:uid="{00000000-0006-0000-0700-000005000000}">
      <text>
        <r>
          <rPr>
            <b/>
            <sz val="8"/>
            <color indexed="81"/>
            <rFont val="Tahoma"/>
            <family val="2"/>
          </rPr>
          <t>Ggf. bestehende ungewöhnliche zahlungswirksame Aufwendungen sind hier ebenfalls anzugeben, da der Cash Flow den Finanzstrom aus den gewöhnlichen Geschäftstätigkeiten angibt (z.B. einmalige Abfindungszahlungen).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author>
    <author>Schmidt</author>
  </authors>
  <commentList>
    <comment ref="F3" authorId="0" shapeId="0" xr:uid="{00000000-0006-0000-0800-000001000000}">
      <text>
        <r>
          <rPr>
            <b/>
            <sz val="8"/>
            <color indexed="81"/>
            <rFont val="Tahoma"/>
            <family val="2"/>
          </rPr>
          <t>Bei Erhalt von Zinszuschüssen, die zinsmindernd gebucht werden, bitte zur Vereinheitlichung hier im Erfassungbogen in der Bruttodarstellung (Hinzuzählung bei den Zinsausgaben und Erfassung als Ertrag unter der Position "Sonstige betriebliche Erträge") zeigen.</t>
        </r>
      </text>
    </comment>
    <comment ref="D17" authorId="0" shapeId="0" xr:uid="{00000000-0006-0000-0800-000002000000}">
      <text>
        <r>
          <rPr>
            <b/>
            <sz val="8"/>
            <color indexed="81"/>
            <rFont val="Tahoma"/>
            <family val="2"/>
          </rPr>
          <t>I. d. R. der Zinsaufwand für langfristige Objekt- und Unternehmensfinanzierung betr. Hausbewirtschaftung.
Dieses kann der Zinsaufwand gegenüber Dritten oder, bei Genossenschaften mit Spareinrichtungen, auch Zinsen auf die Spareinlagen zur Objektfinanzierung sein.</t>
        </r>
      </text>
    </comment>
    <comment ref="D22" authorId="0" shapeId="0" xr:uid="{00000000-0006-0000-0800-000003000000}">
      <text>
        <r>
          <rPr>
            <b/>
            <sz val="8"/>
            <color indexed="81"/>
            <rFont val="Tahoma"/>
            <family val="2"/>
          </rPr>
          <t>Erstattungen mit negativem Vorzeichen</t>
        </r>
      </text>
    </comment>
    <comment ref="B23" authorId="1" shapeId="0" xr:uid="{00000000-0006-0000-0800-000004000000}">
      <text>
        <r>
          <rPr>
            <b/>
            <sz val="8"/>
            <color indexed="81"/>
            <rFont val="Tahoma"/>
            <family val="2"/>
          </rPr>
          <t>Korrektur als nicht zahlungs-wirksam beim Cash Flow
-
Wird durch den Verband korrigiert, bitte nur angeben!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s>
  <commentList>
    <comment ref="D2" authorId="0" shapeId="0" xr:uid="{00000000-0006-0000-0900-000001000000}">
      <text>
        <r>
          <rPr>
            <b/>
            <sz val="8"/>
            <color indexed="81"/>
            <rFont val="Tahoma"/>
            <family val="2"/>
          </rPr>
          <t>Hier sind alle Personal- und Sachaufwendungen zu erfassen, wie sie aus der GuV ersichtlich sind, unabhängig davon, ob der BAB Ihres Unternehmens eine andere Verteilung (Direktverrechnung) vornimmt. Dieses dient der der Vereinheitlichung bei der Ermittlung der Personal- und Sachaufwendungen bei unterschiedlichen Berechnungsweisen in den Unternehmen und damit der Vergleichbarkeit der Ergebnisse.
Unter Punkt 8.5 können Sie die hier ermittelten Gesamtaufwendungen im Verhältnis der Aufwandsverteilung Ihres BABs verteilen.</t>
        </r>
      </text>
    </comment>
    <comment ref="D28" authorId="1" shapeId="0" xr:uid="{00000000-0006-0000-0900-000002000000}">
      <text>
        <r>
          <rPr>
            <b/>
            <sz val="8"/>
            <color indexed="81"/>
            <rFont val="Tahoma"/>
            <family val="2"/>
          </rPr>
          <t xml:space="preserve">Die Kosten sind hier nur insoweit einzutragen, wie sie nicht schon direkt von den Aufwendungen abgezogen wurden (z. B. Erstattungen von Krankenkassen).
</t>
        </r>
      </text>
    </comment>
    <comment ref="D86" authorId="0" shapeId="0" xr:uid="{00000000-0006-0000-0900-000003000000}">
      <text>
        <r>
          <rPr>
            <b/>
            <sz val="8"/>
            <color indexed="81"/>
            <rFont val="Tahoma"/>
            <family val="2"/>
          </rPr>
          <t>entspricht BA10</t>
        </r>
      </text>
    </comment>
  </commentList>
</comments>
</file>

<file path=xl/sharedStrings.xml><?xml version="1.0" encoding="utf-8"?>
<sst xmlns="http://schemas.openxmlformats.org/spreadsheetml/2006/main" count="3160" uniqueCount="1900">
  <si>
    <r>
      <t>Durchschnittliche Verwaltungskosten/Verwaltungsmitarbeiter</t>
    </r>
    <r>
      <rPr>
        <sz val="10"/>
        <rFont val="Arial"/>
      </rPr>
      <t xml:space="preserve">
(Summe persönlicher und sächlicher Kosten aktiver Beschäftigter (ohne Regie/Hauswarte)) : 
Summe (akt.) Personalbestand (ohne Regie/Hauswarte)</t>
    </r>
  </si>
  <si>
    <r>
      <t xml:space="preserve">Durchschnittliche Altersversorgung/Verwaltungsmitarbeiter </t>
    </r>
    <r>
      <rPr>
        <sz val="10"/>
        <rFont val="Arial"/>
      </rPr>
      <t xml:space="preserve">
Summe Aufwand für Altersversorgung (ohne Regie/Hauswarte) insgesamt : 
Summe (akt.) Personalbestand (ohne Regie/Hauswarte)</t>
    </r>
  </si>
  <si>
    <r>
      <t>Durchschnittliche Sachkosten/Verwaltungsmitarbeiter</t>
    </r>
    <r>
      <rPr>
        <sz val="10"/>
        <rFont val="Arial"/>
      </rPr>
      <t xml:space="preserve">
Summe sächlicher Kosten (ohne Regie/Hauswarte) : 
Summe (akt.) Personalbestand (ohne Regie/Hauswarte)</t>
    </r>
  </si>
  <si>
    <r>
      <t>Fluktuationsrate Mietwohnungen</t>
    </r>
    <r>
      <rPr>
        <sz val="10"/>
        <rFont val="Arial"/>
      </rPr>
      <t xml:space="preserve">
Anzahl der Kündigungen und andere Auflösungen von Mietverhältnissen des Geschäftsjahres x 100 : 
gesamter Bestand an Mietwohnungen des Geschäftsjahres</t>
    </r>
  </si>
  <si>
    <r>
      <t>Leerstandsquote Mietwohnungen</t>
    </r>
    <r>
      <rPr>
        <sz val="10"/>
        <rFont val="Arial"/>
      </rPr>
      <t xml:space="preserve">
Durchschnittsbestand leerstehender Mietwohnungen pro Jahr x 
100 : gesamter Bestand an Mietwohnungen des Geschäftsjahres</t>
    </r>
  </si>
  <si>
    <t>Cash Flow (vereinfacht)</t>
  </si>
  <si>
    <t>Ziffer 2 = in den alten Bundesländern tätig</t>
  </si>
  <si>
    <r>
      <t>Jahresergebnis zu Wohn-/Nutzfläche</t>
    </r>
    <r>
      <rPr>
        <sz val="10"/>
        <rFont val="Arial"/>
        <family val="2"/>
      </rPr>
      <t xml:space="preserve">
Jahresüberschuss/-fehlbetrag : Wohn-/Nutzfläche der eigenen und durch Miete/Pacht erworbenen Einheiten</t>
    </r>
  </si>
  <si>
    <r>
      <t>EBITDA zu Wohn-/Nutzfläche</t>
    </r>
    <r>
      <rPr>
        <sz val="10"/>
        <rFont val="Arial"/>
        <family val="2"/>
      </rPr>
      <t xml:space="preserve">
EBITDA : Wohn-/Nutzfläche der eigenen und durch Miete/Pacht erworbenen Einheiten</t>
    </r>
  </si>
  <si>
    <r>
      <t>EBITDA vor Instandhaltung zu Wohn-/Nutzfläche</t>
    </r>
    <r>
      <rPr>
        <sz val="10"/>
        <rFont val="Arial"/>
        <family val="2"/>
      </rPr>
      <t xml:space="preserve">
EBITDA : Wohn-/Nutzfläche der eigenen und durch Miete/Pacht erworbenen Einheiten</t>
    </r>
  </si>
  <si>
    <r>
      <t xml:space="preserve">Dynamischer Verschuldungsgrad 
</t>
    </r>
    <r>
      <rPr>
        <sz val="10"/>
        <rFont val="Arial"/>
        <family val="2"/>
      </rPr>
      <t>Effektivverschuldung : Cash-Flow</t>
    </r>
  </si>
  <si>
    <r>
      <t xml:space="preserve">Innenfinanzierungsgrad I 
</t>
    </r>
    <r>
      <rPr>
        <sz val="10"/>
        <rFont val="Arial"/>
        <family val="2"/>
      </rPr>
      <t>Cash-Flow x 100 : Nettoinvestition</t>
    </r>
  </si>
  <si>
    <r>
      <t xml:space="preserve">Innenfinanzierungsgrad II 
</t>
    </r>
    <r>
      <rPr>
        <sz val="10"/>
        <rFont val="Arial"/>
        <family val="2"/>
      </rPr>
      <t>(Cash-Flow - Tilgungen) x 100 : Nettoinvestitionen</t>
    </r>
  </si>
  <si>
    <t>Ziffer 3 = in den neuen und alten Bundesländern tätig</t>
  </si>
  <si>
    <t>Ziffer 4 = Nullelement für alle anderen Teilnehmer (Voreinstellung)</t>
  </si>
  <si>
    <t>EIGT</t>
  </si>
  <si>
    <t>TAET</t>
  </si>
  <si>
    <t>KV08</t>
  </si>
  <si>
    <t>KV09</t>
  </si>
  <si>
    <t>Kurzfristige Verbindlichkeiten</t>
  </si>
  <si>
    <t>SE05</t>
  </si>
  <si>
    <t xml:space="preserve">Von den gesamten Instandhaltungskosten entfallen auf </t>
  </si>
  <si>
    <t>Modernisierung</t>
  </si>
  <si>
    <t>IK03</t>
  </si>
  <si>
    <t>AS05</t>
  </si>
  <si>
    <t>Zuführung zu den Rückstellungen</t>
  </si>
  <si>
    <t>SA05</t>
  </si>
  <si>
    <t>Cash Flow (nach DVFA)</t>
  </si>
  <si>
    <t>K27A</t>
  </si>
  <si>
    <t>K30A</t>
  </si>
  <si>
    <t>Z14A</t>
  </si>
  <si>
    <t>Z18C</t>
  </si>
  <si>
    <r>
      <t>zuzüglich</t>
    </r>
    <r>
      <rPr>
        <sz val="10"/>
        <rFont val="Arial"/>
      </rPr>
      <t xml:space="preserve"> (soweit noch in die KLR/BAB einzubeziehen)</t>
    </r>
  </si>
  <si>
    <t>ggf. sind hier kalkulatorische Werte anzusetzen</t>
  </si>
  <si>
    <t>UE50</t>
  </si>
  <si>
    <t>Gebühren und Umlagen vor Abzug der Erlösschmälerungen (Betriebskosten)</t>
  </si>
  <si>
    <t>EA01</t>
  </si>
  <si>
    <t>Außerordentliche Erträge</t>
  </si>
  <si>
    <t>AA01</t>
  </si>
  <si>
    <t>AA02</t>
  </si>
  <si>
    <t>AA03</t>
  </si>
  <si>
    <t>AA04</t>
  </si>
  <si>
    <t>Anzahl eigene Einheiten</t>
  </si>
  <si>
    <t>eigene Wohn- / Nutzfläche (Fläche zu K16)</t>
  </si>
  <si>
    <t>REGN</t>
  </si>
  <si>
    <t>AS04</t>
  </si>
  <si>
    <t>E-Mail-Adresse</t>
  </si>
  <si>
    <t>EN11</t>
  </si>
  <si>
    <t>UE05</t>
  </si>
  <si>
    <t>3.2. Kennzahlen zur Vermietungssituation - eigener Bestand -</t>
  </si>
  <si>
    <t>Geschäftsführer/Vorstand</t>
  </si>
  <si>
    <r>
      <t xml:space="preserve">   </t>
    </r>
    <r>
      <rPr>
        <u/>
        <sz val="10"/>
        <rFont val="Arial"/>
        <family val="2"/>
      </rPr>
      <t>davon</t>
    </r>
    <r>
      <rPr>
        <sz val="10"/>
        <rFont val="Arial"/>
        <family val="2"/>
      </rPr>
      <t xml:space="preserve"> Steuerliche Mehrabschreibung</t>
    </r>
  </si>
  <si>
    <t>Gesonderter Ausweis in der GuV oder Anhangangabe</t>
  </si>
  <si>
    <t>(§§ 277 Abs. 3, 279 Abs. 1, 253 Abs. 2 Satz 3 HGB)</t>
  </si>
  <si>
    <t>K15A</t>
  </si>
  <si>
    <t>Instandhaltungskosten</t>
  </si>
  <si>
    <t>Abschreibungen auf Mietforderungen</t>
  </si>
  <si>
    <t>K40A</t>
  </si>
  <si>
    <t>K48A</t>
  </si>
  <si>
    <t>K48B</t>
  </si>
  <si>
    <t>K49A</t>
  </si>
  <si>
    <t>Z15A</t>
  </si>
  <si>
    <t>Z18A</t>
  </si>
  <si>
    <t>Z18B</t>
  </si>
  <si>
    <t>K14A</t>
  </si>
  <si>
    <t>LW09</t>
  </si>
  <si>
    <t>K55</t>
  </si>
  <si>
    <t>WE/Mitarb.</t>
  </si>
  <si>
    <t>07 - Hessen</t>
  </si>
  <si>
    <t xml:space="preserve">                neben-/ehrenamtliches Personal)</t>
  </si>
  <si>
    <t>Erfassungsbogen zum Betriebsvergleich</t>
  </si>
  <si>
    <t>Abschlussstichtag:</t>
  </si>
  <si>
    <t>(7-stellig; bitte dem Anschreiben entnehmen)</t>
  </si>
  <si>
    <t>in %</t>
  </si>
  <si>
    <t xml:space="preserve">      </t>
  </si>
  <si>
    <t>Anzahl der Kündigungen und anderen Auflösungen von Miet-</t>
  </si>
  <si>
    <t>(Anzugeben ist die Anzahl aller Wohnungswechsel incl. der internen Umzüge)</t>
  </si>
  <si>
    <t>Anzahl der neu abgeschlossenen Mietverhältnisse des Ge-</t>
  </si>
  <si>
    <t>Im Geschäftsjahr leerstehende Vermietungseinheiten</t>
  </si>
  <si>
    <t>vom Leerstand (LW10) entfallen auf</t>
  </si>
  <si>
    <t>Modernisierungsmaßnahmen</t>
  </si>
  <si>
    <t>Abriss</t>
  </si>
  <si>
    <t>Verkauf</t>
  </si>
  <si>
    <t>Vermietungsschwierigkeiten (einschließlich Mieterwechsel)</t>
  </si>
  <si>
    <t>3.3 Angaben zur Wohn- und Nutzfläche des eigenen Bestandes</t>
  </si>
  <si>
    <t>davon</t>
  </si>
  <si>
    <t>nur zu Wohnzwecken (Angabe EN10 ./. Nutzfläche)</t>
  </si>
  <si>
    <r>
      <t xml:space="preserve">Wohn-/Nutzfläche d. d. </t>
    </r>
    <r>
      <rPr>
        <u/>
        <sz val="10"/>
        <rFont val="Arial"/>
        <family val="2"/>
      </rPr>
      <t>Miete/Pacht</t>
    </r>
    <r>
      <rPr>
        <sz val="10"/>
        <rFont val="Arial"/>
      </rPr>
      <t xml:space="preserve"> erworbenen Einheiten</t>
    </r>
  </si>
  <si>
    <t>nur zu Wohnzwecken (Angabe EN12 ./. Nutzfläche)</t>
  </si>
  <si>
    <t>Anzahl der im Geschäftsjahr fertiggestellten eigenen Mietwohnungen</t>
  </si>
  <si>
    <t>Nettoinvestitionen in Sachanlagen</t>
  </si>
  <si>
    <t>(Saldo aus Zugängen im Geschäftsjahr lt. Anlagengitter und den im</t>
  </si>
  <si>
    <t>Geschäftsjahr zu verzeichnenden Abgängen zu Restbuchwerten)</t>
  </si>
  <si>
    <t>ursprüngliche Anschaffungs-/Herstellungskosten der Sachanlagen</t>
  </si>
  <si>
    <t>kumulierte Abschreibungen auf immaterielle Vermögensgegenstände</t>
  </si>
  <si>
    <t>sowie Forderungen, akt. RAP mit RLZ &gt; 1 Jahr lt. Anhang)</t>
  </si>
  <si>
    <r>
      <t xml:space="preserve">Flüssige Mittel </t>
    </r>
    <r>
      <rPr>
        <u/>
        <sz val="10"/>
        <rFont val="Arial"/>
        <family val="2"/>
      </rPr>
      <t>und</t>
    </r>
    <r>
      <rPr>
        <sz val="10"/>
        <rFont val="Arial"/>
      </rPr>
      <t xml:space="preserve"> kurzfristiges Umlaufvermögen lt. Bilanz </t>
    </r>
    <r>
      <rPr>
        <sz val="8"/>
        <rFont val="Arial"/>
        <family val="2"/>
      </rPr>
      <t>(z. B. Unfertige Leistungen</t>
    </r>
  </si>
  <si>
    <r>
      <t xml:space="preserve">übriges Umlaufvermögen lt. Bilanz </t>
    </r>
    <r>
      <rPr>
        <sz val="8"/>
        <rFont val="Arial"/>
        <family val="2"/>
      </rPr>
      <t xml:space="preserve">(z. B. Bautätigkeit im Umlaufvermögen </t>
    </r>
  </si>
  <si>
    <t>aus der Betriebskostenumlage und Forderungen mit Restlaufzeit &lt; 1 Jahr lt. Anhang)</t>
  </si>
  <si>
    <r>
      <t xml:space="preserve">5.1 Eigenkapital </t>
    </r>
    <r>
      <rPr>
        <b/>
        <u/>
        <vertAlign val="superscript"/>
        <sz val="10"/>
        <rFont val="Arial"/>
        <family val="2"/>
      </rPr>
      <t>1)</t>
    </r>
  </si>
  <si>
    <t>1)</t>
  </si>
  <si>
    <t>+/- Gewinn-/Verlustvortrag</t>
  </si>
  <si>
    <t>+   Rücklagen</t>
  </si>
  <si>
    <t xml:space="preserve">     Grund- bzw. Stammkapital/Geschäftsguthaben + Rücklagen</t>
  </si>
  <si>
    <t>+/- Bilanzgewinn/-verlust (bzw. Jahresüberschuss/-fehlbetrag)</t>
  </si>
  <si>
    <t>davon Investitionszulage
volle EURO</t>
  </si>
  <si>
    <r>
      <t>Planmäßige</t>
    </r>
    <r>
      <rPr>
        <sz val="10"/>
        <rFont val="Arial"/>
      </rPr>
      <t xml:space="preserve"> Tilgungen des Geschäftsjahres auf</t>
    </r>
  </si>
  <si>
    <t>Rückstellungen am 31.12. des Geschäftsjahres</t>
  </si>
  <si>
    <t>Verbindlichkeiten gegenüber Kreditinstituten</t>
  </si>
  <si>
    <t>Sächliche Verwaltungs-/Regiebetriebskosten, die i.d.R. im Posten "Sonstige</t>
  </si>
  <si>
    <t>Weitere sächliche Verwaltungs-/Regiebetriebsaufwendungen (z.B. Kfz. - Steuer)</t>
  </si>
  <si>
    <t>Erstattungen von sächlichen Verwaltungs-/Regiebetriebskosten</t>
  </si>
  <si>
    <t>Verbindlichkeiten gegenüber anderen Kreditgebern</t>
  </si>
  <si>
    <t>Spareinlagen und Sparschuldverschreibungen</t>
  </si>
  <si>
    <r>
      <t xml:space="preserve">(Verbindlichkeiten des Unternehmens, </t>
    </r>
    <r>
      <rPr>
        <b/>
        <sz val="10"/>
        <rFont val="Arial"/>
        <family val="2"/>
      </rPr>
      <t>nicht</t>
    </r>
    <r>
      <rPr>
        <sz val="10"/>
        <rFont val="Arial"/>
      </rPr>
      <t xml:space="preserve"> Sparguthaben)</t>
    </r>
  </si>
  <si>
    <r>
      <t xml:space="preserve">5.4.2 Finanzierungsmittel des </t>
    </r>
    <r>
      <rPr>
        <b/>
        <u/>
        <sz val="10"/>
        <rFont val="Arial"/>
        <family val="2"/>
      </rPr>
      <t xml:space="preserve">Umlaufvermögens </t>
    </r>
  </si>
  <si>
    <r>
      <t xml:space="preserve">           </t>
    </r>
    <r>
      <rPr>
        <u/>
        <sz val="8"/>
        <rFont val="Arial"/>
        <family val="2"/>
      </rPr>
      <t>Aufwendungsdarlehen und Fremdmittel der langfristigen Unternehmensfinanzierung)</t>
    </r>
  </si>
  <si>
    <t xml:space="preserve">          (i. d. R. nur bei Betätigung im Bauträgergeschäft relevant)</t>
  </si>
  <si>
    <r>
      <t xml:space="preserve">5.4.1 </t>
    </r>
    <r>
      <rPr>
        <b/>
        <u/>
        <sz val="10"/>
        <rFont val="Arial"/>
        <family val="2"/>
      </rPr>
      <t>Dauerfinanzierungsmittel des Anlagevermögens</t>
    </r>
    <r>
      <rPr>
        <u/>
        <sz val="10"/>
        <rFont val="Arial"/>
        <family val="2"/>
      </rPr>
      <t xml:space="preserve"> </t>
    </r>
    <r>
      <rPr>
        <u/>
        <sz val="8"/>
        <rFont val="Arial"/>
        <family val="2"/>
      </rPr>
      <t>(Objektfinanzierungsmittel, passivierte</t>
    </r>
  </si>
  <si>
    <t>in folgenden Bilanzposten enthalten:</t>
  </si>
  <si>
    <t>Sonstige Posten (nur lang- und mittelfristige Posten!)</t>
  </si>
  <si>
    <r>
      <t xml:space="preserve">
</t>
    </r>
    <r>
      <rPr>
        <b/>
        <sz val="10"/>
        <rFont val="Arial"/>
        <family val="2"/>
      </rPr>
      <t xml:space="preserve">      </t>
    </r>
    <r>
      <rPr>
        <b/>
        <u/>
        <sz val="10"/>
        <rFont val="Arial"/>
        <family val="2"/>
      </rPr>
      <t xml:space="preserve">und Leistungen </t>
    </r>
    <r>
      <rPr>
        <u/>
        <sz val="10"/>
        <rFont val="Arial"/>
        <family val="2"/>
      </rPr>
      <t>(lt. GuV)</t>
    </r>
  </si>
  <si>
    <t xml:space="preserve">6.4 Umsatzerlöse aus anderen Lieferungen </t>
  </si>
  <si>
    <t xml:space="preserve">Erlössch. betr. Mieten wegen fehlender Anschlussvermietung </t>
  </si>
  <si>
    <r>
      <t xml:space="preserve">Erlössch. betr. Mieten wegen Modernisierung / </t>
    </r>
    <r>
      <rPr>
        <sz val="10"/>
        <rFont val="Arial"/>
        <family val="2"/>
      </rPr>
      <t>Verkauf</t>
    </r>
    <r>
      <rPr>
        <sz val="10"/>
        <color indexed="10"/>
        <rFont val="Arial"/>
        <family val="2"/>
      </rPr>
      <t xml:space="preserve"> </t>
    </r>
  </si>
  <si>
    <r>
      <t>Erlösschmälerungen betr. Gebühren und Umlagen</t>
    </r>
    <r>
      <rPr>
        <sz val="8"/>
        <color indexed="10"/>
        <rFont val="Arial"/>
        <family val="2"/>
      </rPr>
      <t xml:space="preserve"> </t>
    </r>
  </si>
  <si>
    <t xml:space="preserve">                Anlagevermögen (nur, wenn  unter UE20 erfasst)</t>
  </si>
  <si>
    <t>übrige Bestandsveränderungen</t>
  </si>
  <si>
    <t>nur eigene Einheiten betreffend</t>
  </si>
  <si>
    <t>Bestandsveränderungen der Unfertigen Leistungen aus noch</t>
  </si>
  <si>
    <r>
      <t xml:space="preserve">nicht abgerechnete Betriebs- und Heizkosten </t>
    </r>
    <r>
      <rPr>
        <u/>
        <sz val="10"/>
        <rFont val="Arial"/>
        <family val="2"/>
      </rPr>
      <t>eigener Einheiten</t>
    </r>
  </si>
  <si>
    <t>Bestandsveränderungen im Bauträgergeschäft</t>
  </si>
  <si>
    <t>Bestandsveränderungen im der Baubetreuungsleistungen u.a.</t>
  </si>
  <si>
    <t xml:space="preserve">  </t>
  </si>
  <si>
    <t xml:space="preserve">Betriebskosten ohne Heizkosten </t>
  </si>
  <si>
    <t>Heizkosten</t>
  </si>
  <si>
    <t xml:space="preserve">Instandhaltungskosten </t>
  </si>
  <si>
    <t xml:space="preserve">Erbbauzinsen </t>
  </si>
  <si>
    <t xml:space="preserve">Abschreibungen auf immaterielle Vermögensgegenstände </t>
  </si>
  <si>
    <t>Abschreibungen auf Sachanlagen</t>
  </si>
  <si>
    <r>
      <t xml:space="preserve">7.5 </t>
    </r>
    <r>
      <rPr>
        <b/>
        <u/>
        <sz val="10"/>
        <rFont val="Arial"/>
        <family val="2"/>
      </rPr>
      <t>Abschreibungen auf immaterielle Vermögensgegenstände des Anlagevermögens und Sachanlagen</t>
    </r>
  </si>
  <si>
    <t>Zinsen für Dauerfinanzierungsmittel des Anlagevermögens</t>
  </si>
  <si>
    <t>Abschreibungen auf Geldbeschaffungskosten</t>
  </si>
  <si>
    <t>Zinsen für Spareinlagen Dritter</t>
  </si>
  <si>
    <t>Zinsen für kurzfristige Überziehungskredite</t>
  </si>
  <si>
    <t>Sonstige Zinsaufwendungen</t>
  </si>
  <si>
    <r>
      <t xml:space="preserve">für </t>
    </r>
    <r>
      <rPr>
        <u/>
        <sz val="10"/>
        <rFont val="Arial"/>
        <family val="2"/>
      </rPr>
      <t>eigene</t>
    </r>
    <r>
      <rPr>
        <sz val="10"/>
        <rFont val="Arial"/>
        <family val="2"/>
      </rPr>
      <t xml:space="preserve"> Einheiten</t>
    </r>
  </si>
  <si>
    <t>Aufwand (-)</t>
  </si>
  <si>
    <t>Ertrag (+)</t>
  </si>
  <si>
    <t>Von LG01, LG03 und LG05 entfallen auf Hausmeister und Regiebetrieb</t>
  </si>
  <si>
    <t>Löhne und Gehälter</t>
  </si>
  <si>
    <t>Soziale Abgaben</t>
  </si>
  <si>
    <t>malige Regiearbeiter und Hausmeister) für bereits laufende Renten</t>
  </si>
  <si>
    <r>
      <t>abzüglich</t>
    </r>
    <r>
      <rPr>
        <sz val="8"/>
        <color indexed="10"/>
        <rFont val="Arial"/>
        <family val="2"/>
      </rPr>
      <t xml:space="preserve"> (Eingabe ohne Vorzeichen)</t>
    </r>
  </si>
  <si>
    <t>Von LG 05 entfallen auf</t>
  </si>
  <si>
    <t>Abschreibungen auf immaterielle Vermögensgegenstände</t>
  </si>
  <si>
    <t>Abschreibungen auf Verwaltungs- und Regiegebäude</t>
  </si>
  <si>
    <t xml:space="preserve">Abschreibungen auf Betriebs- und Geschäftsausstattung </t>
  </si>
  <si>
    <t>Hauswarte, Hausmeister, Reinigungskräfte</t>
  </si>
  <si>
    <t>Übriges Personal</t>
  </si>
  <si>
    <t>entfallen auf</t>
  </si>
  <si>
    <r>
      <t xml:space="preserve">lfd. und mod. </t>
    </r>
    <r>
      <rPr>
        <u/>
        <sz val="10"/>
        <rFont val="Arial"/>
        <family val="2"/>
      </rPr>
      <t xml:space="preserve">Instandhaltung </t>
    </r>
    <r>
      <rPr>
        <sz val="10"/>
        <rFont val="Arial"/>
        <family val="2"/>
      </rPr>
      <t>eigener Einheiten</t>
    </r>
  </si>
  <si>
    <r>
      <t>Betriebskosten</t>
    </r>
    <r>
      <rPr>
        <sz val="10"/>
        <rFont val="Arial"/>
      </rPr>
      <t xml:space="preserve"> ohne Heizkosten eigener Einheiten (grundsätzlich abrechenbar)</t>
    </r>
  </si>
  <si>
    <r>
      <t>Heizkosten</t>
    </r>
    <r>
      <rPr>
        <sz val="10"/>
        <rFont val="Arial"/>
        <family val="2"/>
      </rPr>
      <t xml:space="preserve"> eigener Einheiten (grundsätzlich abrechenbar)</t>
    </r>
  </si>
  <si>
    <t>Andere Bereiche</t>
  </si>
  <si>
    <t>Verwaltung der durch Treuhand- u./o. Verwaltervertrag   
verschafften Einheiten (Verwaltungsmäßige Betreuung)</t>
  </si>
  <si>
    <t>Sonstige Bereiche</t>
  </si>
  <si>
    <r>
      <t xml:space="preserve">7.2 </t>
    </r>
    <r>
      <rPr>
        <b/>
        <u/>
        <sz val="10"/>
        <rFont val="Arial"/>
        <family val="2"/>
      </rPr>
      <t>Aufwendungen für Verkaufsgrundstücke</t>
    </r>
  </si>
  <si>
    <r>
      <t>Nachrichtlich:</t>
    </r>
    <r>
      <rPr>
        <sz val="10"/>
        <rFont val="Arial"/>
      </rPr>
      <t xml:space="preserve">
Gesamterlöse (Verkaufspreise) aus dem Verkauf von Grundstücken aus dem Anlagevermögen, wenn Verbuchung nach dem Nettoprinzip erfolgt (Ausweis der Erträge unter der Position "Sonstige betriebliche Erträge")</t>
    </r>
  </si>
  <si>
    <r>
      <t>Verwaltung</t>
    </r>
    <r>
      <rPr>
        <sz val="10"/>
        <rFont val="Arial"/>
        <family val="2"/>
      </rPr>
      <t xml:space="preserve"> der </t>
    </r>
    <r>
      <rPr>
        <u/>
        <sz val="10"/>
        <rFont val="Arial"/>
        <family val="2"/>
      </rPr>
      <t>eigenen und der durch</t>
    </r>
  </si>
  <si>
    <r>
      <t>Treuhand u./o. Verwaltervertrag</t>
    </r>
    <r>
      <rPr>
        <sz val="10"/>
        <rFont val="Arial"/>
        <family val="2"/>
      </rPr>
      <t xml:space="preserve"> verschafften Einheiten</t>
    </r>
  </si>
  <si>
    <t>Instandhaltungskosten (eigene Einheiten) - nur Fremdkosten</t>
  </si>
  <si>
    <r>
      <t xml:space="preserve">Eigenkapitalrentabilität vor Ertragsteuern </t>
    </r>
    <r>
      <rPr>
        <sz val="10"/>
        <rFont val="Arial"/>
        <family val="2"/>
      </rPr>
      <t xml:space="preserve">Jahresüberschuss bzw. -fehlbetrag </t>
    </r>
    <r>
      <rPr>
        <u/>
        <sz val="10"/>
        <rFont val="Arial"/>
        <family val="2"/>
      </rPr>
      <t>vor</t>
    </r>
    <r>
      <rPr>
        <sz val="10"/>
        <rFont val="Arial"/>
        <family val="2"/>
      </rPr>
      <t xml:space="preserve"> Ertragsteuern x 100 :  Eigenkapital</t>
    </r>
  </si>
  <si>
    <r>
      <t xml:space="preserve">Eigenkapitalrentabilität nach Ertragsteuern </t>
    </r>
    <r>
      <rPr>
        <sz val="10"/>
        <rFont val="Arial"/>
        <family val="2"/>
      </rPr>
      <t xml:space="preserve">Jahresüberschuss bzw. -fehlbetrag </t>
    </r>
    <r>
      <rPr>
        <u/>
        <sz val="10"/>
        <rFont val="Arial"/>
        <family val="2"/>
      </rPr>
      <t>nach</t>
    </r>
    <r>
      <rPr>
        <sz val="10"/>
        <rFont val="Arial"/>
        <family val="2"/>
      </rPr>
      <t xml:space="preserve"> Ertragsteuern x 100 :  Eigenkapital</t>
    </r>
  </si>
  <si>
    <r>
      <t>Eigenmittelrentabilität (</t>
    </r>
    <r>
      <rPr>
        <sz val="10"/>
        <rFont val="Arial"/>
        <family val="2"/>
      </rPr>
      <t xml:space="preserve">Jahresüberschuss bzw. -fehlbetrag </t>
    </r>
    <r>
      <rPr>
        <u/>
        <sz val="10"/>
        <rFont val="Arial"/>
        <family val="2"/>
      </rPr>
      <t>vor</t>
    </r>
    <r>
      <rPr>
        <sz val="10"/>
        <rFont val="Arial"/>
        <family val="2"/>
      </rPr>
      <t xml:space="preserve"> Ertragssteuern) x 100 :  (Eigenkapital + Rückstellung für Bauinstandhaltung)</t>
    </r>
  </si>
  <si>
    <r>
      <t xml:space="preserve">   Erstattung von Instandhaltungskosten (Versicherungserstattungen u.ä) </t>
    </r>
    <r>
      <rPr>
        <u/>
        <sz val="10"/>
        <rFont val="Arial"/>
        <family val="2"/>
      </rPr>
      <t>- eigene Einheiten -</t>
    </r>
  </si>
  <si>
    <r>
      <t xml:space="preserve">   Erträge aus der Auflösung von Wertberichtigungen auf Forderungen </t>
    </r>
    <r>
      <rPr>
        <u/>
        <sz val="10"/>
        <rFont val="Arial"/>
        <family val="2"/>
      </rPr>
      <t>- eigene Einheiten -</t>
    </r>
  </si>
  <si>
    <r>
      <t xml:space="preserve">   Sonstige Erträge aus Hausbewirtschaftung </t>
    </r>
    <r>
      <rPr>
        <u/>
        <sz val="10"/>
        <rFont val="Arial"/>
        <family val="2"/>
      </rPr>
      <t>- eigene Einheiten -</t>
    </r>
  </si>
  <si>
    <t>Übrige Aufwendungen</t>
  </si>
  <si>
    <t>Übrige Erlöse</t>
  </si>
  <si>
    <t>Sonstige Aufwendungen</t>
  </si>
  <si>
    <t>HA12</t>
  </si>
  <si>
    <r>
      <t>für eigene</t>
    </r>
    <r>
      <rPr>
        <sz val="10"/>
        <rFont val="Arial"/>
        <family val="2"/>
      </rPr>
      <t xml:space="preserve"> Einheiten</t>
    </r>
  </si>
  <si>
    <r>
      <t>Durchschnittliche Sollmiete</t>
    </r>
    <r>
      <rPr>
        <sz val="10"/>
        <rFont val="Arial"/>
      </rPr>
      <t xml:space="preserve">
Sollmieten eigene Einheiten insgesamt :
Summe Wohn-/Nutzfläche insgesamt : 12</t>
    </r>
  </si>
  <si>
    <r>
      <t>Durchschnittliche Wohnungsmiete</t>
    </r>
    <r>
      <rPr>
        <sz val="10"/>
        <rFont val="Arial"/>
      </rPr>
      <t xml:space="preserve">
Wohnungssollmieten eigene Einheiten insgesamt : 
Summe Wohnfläche inesgesamt : 12</t>
    </r>
  </si>
  <si>
    <r>
      <t>Durchschnittliche Umlagenerlöse</t>
    </r>
    <r>
      <rPr>
        <sz val="10"/>
        <rFont val="Arial"/>
      </rPr>
      <t xml:space="preserve">
Gebühren und Umlagen eigene Einheiten insgesamt : 
Summe Wohn-/Nutzfläche insgesamt : 12</t>
    </r>
  </si>
  <si>
    <r>
      <t>Durchschnittliche Mietsubventionen</t>
    </r>
    <r>
      <rPr>
        <sz val="10"/>
        <rFont val="Arial"/>
      </rPr>
      <t xml:space="preserve">
Mietsubventionen insgesamt : 
Summe Wohnfläche : 12</t>
    </r>
  </si>
  <si>
    <r>
      <t>Durchschnittliche Erlösschmälerungen</t>
    </r>
    <r>
      <rPr>
        <sz val="10"/>
        <rFont val="Arial"/>
      </rPr>
      <t xml:space="preserve">
Erlösschmälerungen  Mieten und Umlagen eigene Einheiten : 
Summe Wohn-/Nutzfläche insgesamt : 12</t>
    </r>
  </si>
  <si>
    <r>
      <t>Durchschnittliche Mietabschreibungen</t>
    </r>
    <r>
      <rPr>
        <sz val="10"/>
        <rFont val="Arial"/>
      </rPr>
      <t xml:space="preserve">
Abschreibungen und Wertberichtigungen auf Forderungen aus Vermietung eigene Einheiten : 
Summe Wohn-/Nutzfläche insgesamt : 12</t>
    </r>
  </si>
  <si>
    <r>
      <t>Durchschnittliche "kalte" Betriebskosten (Fremdkosten)</t>
    </r>
    <r>
      <rPr>
        <sz val="10"/>
        <rFont val="Arial"/>
      </rPr>
      <t xml:space="preserve">
(Summe Betriebskosten insgesamt +  Grundsteuern - Heizungskosten (mit Warmwasserkosten)) eigene Einheiten: 
Summe Wohn-/Nutzfläche insgesamt : 12 </t>
    </r>
  </si>
  <si>
    <r>
      <t>Durchschnittlicher Gebäudebuchwert</t>
    </r>
    <r>
      <rPr>
        <sz val="10"/>
        <rFont val="Arial"/>
        <family val="2"/>
      </rPr>
      <t xml:space="preserve">
Gebäudebuchwert zu qm Wohn-/Nutzfläche eigene Einheiten</t>
    </r>
  </si>
  <si>
    <r>
      <t>Durchschnittliches langfristiges Fremdkapital</t>
    </r>
    <r>
      <rPr>
        <sz val="10"/>
        <rFont val="Arial"/>
        <family val="2"/>
      </rPr>
      <t xml:space="preserve">
lang- und mittelfristiges Fremdkapital je qm Wohn-/Nutzfläche eigene Einheiten</t>
    </r>
  </si>
  <si>
    <r>
      <t xml:space="preserve">Durchschnittliches gesamtes Fremdkapital </t>
    </r>
    <r>
      <rPr>
        <sz val="10"/>
        <rFont val="Arial"/>
        <family val="2"/>
      </rPr>
      <t xml:space="preserve">
Fremdkapital je qm Wohn-/Nutzfläche eigene Einheiten</t>
    </r>
  </si>
  <si>
    <r>
      <t xml:space="preserve">verhältnissen im </t>
    </r>
    <r>
      <rPr>
        <u/>
        <sz val="10"/>
        <rFont val="Arial"/>
        <family val="2"/>
      </rPr>
      <t>eigenen</t>
    </r>
    <r>
      <rPr>
        <sz val="10"/>
        <rFont val="Arial"/>
        <family val="2"/>
      </rPr>
      <t xml:space="preserve"> Bestand</t>
    </r>
  </si>
  <si>
    <t>Kommentarfelder!</t>
  </si>
  <si>
    <t>Aktivseite</t>
  </si>
  <si>
    <t>€</t>
  </si>
  <si>
    <t>Teil.Seite_Bez.</t>
  </si>
  <si>
    <t>A.</t>
  </si>
  <si>
    <t>Anlagevermögen</t>
  </si>
  <si>
    <t>I.</t>
  </si>
  <si>
    <t>Immaterielle Vermögensgegenstände</t>
  </si>
  <si>
    <t>I.3_IV10</t>
  </si>
  <si>
    <t xml:space="preserve">II. </t>
  </si>
  <si>
    <t>Sachanlagen</t>
  </si>
  <si>
    <t>I.3_AV08</t>
  </si>
  <si>
    <t>III.</t>
  </si>
  <si>
    <t>Finanzanlagen</t>
  </si>
  <si>
    <t>I.3_AV09</t>
  </si>
  <si>
    <t>Anlagevermögen insgesamt</t>
  </si>
  <si>
    <t>B.</t>
  </si>
  <si>
    <t>Umlaufvermögen (inkl. RAP)</t>
  </si>
  <si>
    <t xml:space="preserve">Vorräte (auch Grundstücke), unfertige Leistungen, </t>
  </si>
  <si>
    <t xml:space="preserve">Forderungen, sonstige Vermögensgegenstände, </t>
  </si>
  <si>
    <t xml:space="preserve">Kassen- und Bankbestände und </t>
  </si>
  <si>
    <t>aktive Rechnungsabgrenzungsposten (RAP)</t>
  </si>
  <si>
    <t>lang- und mittelfristiges Umlaufvermögen</t>
  </si>
  <si>
    <t>I.3_UV20</t>
  </si>
  <si>
    <t>II.</t>
  </si>
  <si>
    <t>kurzfristiges Umlaufvermögen</t>
  </si>
  <si>
    <t>I.3_UV10</t>
  </si>
  <si>
    <t>Passivseite</t>
  </si>
  <si>
    <t>I.4_EK10</t>
  </si>
  <si>
    <t>Sonderposten mit Rücklageanteil</t>
  </si>
  <si>
    <t>I.4_SP10</t>
  </si>
  <si>
    <t>C.</t>
  </si>
  <si>
    <t>Rückstellungen</t>
  </si>
  <si>
    <t>lang- und mittelfristige</t>
  </si>
  <si>
    <t>I.4_LR10</t>
  </si>
  <si>
    <t>kurzfristige</t>
  </si>
  <si>
    <t xml:space="preserve"> -&gt; in D. 5. enthalten</t>
  </si>
  <si>
    <t>D.</t>
  </si>
  <si>
    <t>Verbindlichkeiten (inkl. kfr. Rückstellungen u. RAP)</t>
  </si>
  <si>
    <t xml:space="preserve">(Verbindlichkeiten gegenüber Kreditinstituten, ..., sonstige </t>
  </si>
  <si>
    <t>Verbindlichkeiten, passive Rechnungsabgrenzungsposten (RAP))</t>
  </si>
  <si>
    <t>I.5_FK10</t>
  </si>
  <si>
    <t>lang-/mittelfristige Finanzierungen d. Umlaufvermögens</t>
  </si>
  <si>
    <t>I.5_FK50</t>
  </si>
  <si>
    <t>Spareinlagen (lang- und mittelfristig)</t>
  </si>
  <si>
    <t>I.5_SL10</t>
  </si>
  <si>
    <t>Übrige lang- u. mittelfristige Verbindl., Rückst. u. RAP</t>
  </si>
  <si>
    <t>I.5_LV10</t>
  </si>
  <si>
    <t>kurzfristige Verbindlichkeiten, Rückstellungen u. RAP</t>
  </si>
  <si>
    <t>I.5_KV10</t>
  </si>
  <si>
    <t>Differenz (Aktiva ./. Passiva) -&gt; muss Null sein</t>
  </si>
  <si>
    <t>kurzfristig: Restlaufzeit (Zeit bis zum Zahlungsfluss) von bis zu einem Jahr</t>
  </si>
  <si>
    <t>lang- und mittelfristig: Restlaufzeit (Zeit bis zum Zahlungsfluss) von mehr als einem Jahr</t>
  </si>
  <si>
    <t>Erträge und Aufwendungen</t>
  </si>
  <si>
    <t>Umsatzerlöse</t>
  </si>
  <si>
    <t>a) aus der Hausbewirtschaftung</t>
  </si>
  <si>
    <t>I.6_XX13</t>
  </si>
  <si>
    <t>b) aus Verkauf von Grundstücken</t>
  </si>
  <si>
    <t>I.6_UE20</t>
  </si>
  <si>
    <t>c) aus Betreuungstätigkeit</t>
  </si>
  <si>
    <t>I.6_UE30</t>
  </si>
  <si>
    <t>d) aus anderen Lieferungen und Leistungen</t>
  </si>
  <si>
    <t>I.6_UE40</t>
  </si>
  <si>
    <t xml:space="preserve">Erhöhung(+)/Verminderung(-) des Bestandes an </t>
  </si>
  <si>
    <t>zum Verkauf bestimmten Grundstücken mit</t>
  </si>
  <si>
    <t>fertigen und unfertigen Bauten sowie</t>
  </si>
  <si>
    <t>unfertigen Leistungen</t>
  </si>
  <si>
    <t>I.7_XX16</t>
  </si>
  <si>
    <t>Andere aktivierte Eigenleistungen</t>
  </si>
  <si>
    <t>I.7_AE01</t>
  </si>
  <si>
    <t>Sonstige betriebliche Erträge</t>
  </si>
  <si>
    <t>I.7_XX17</t>
  </si>
  <si>
    <t>Aufw. für bezogene Lieferungen u. Leistungen</t>
  </si>
  <si>
    <t>a) Aufwendungen für Hausbewirtschaftung</t>
  </si>
  <si>
    <t>I.8_XX18</t>
  </si>
  <si>
    <t>b) Aufwendungen für Verkaufsgrundstücke</t>
  </si>
  <si>
    <t>I.8_AA01</t>
  </si>
  <si>
    <t>c) Aufw für andere Lieferungen u. Leistungen</t>
  </si>
  <si>
    <t>I.8_AA02</t>
  </si>
  <si>
    <t>Rohergebnis</t>
  </si>
  <si>
    <t>6.</t>
  </si>
  <si>
    <t>Personalaufwand</t>
  </si>
  <si>
    <t>7.</t>
  </si>
  <si>
    <t>a) Abschreibungen auf immaterielle Vermögensgegen-</t>
  </si>
  <si>
    <t xml:space="preserve">     stände des Anlagevermögens und Sachanlagen</t>
  </si>
  <si>
    <t>I.8_AA10</t>
  </si>
  <si>
    <t xml:space="preserve">b) Abschreibungen auf Umlaufvermögen, soweit diese </t>
  </si>
  <si>
    <t xml:space="preserve">    die üblichen Abschreibungen überschreiten</t>
  </si>
  <si>
    <t>8.</t>
  </si>
  <si>
    <t>Sonstige betriebliche Aufwendungen</t>
  </si>
  <si>
    <t>I.8_XX23</t>
  </si>
  <si>
    <t>9.</t>
  </si>
  <si>
    <t>I.7_EB01</t>
  </si>
  <si>
    <t>10.</t>
  </si>
  <si>
    <t xml:space="preserve">Erträge aus anderen Wertpapieren und Ausleihungen </t>
  </si>
  <si>
    <t>des Finanzanlagevermögens</t>
  </si>
  <si>
    <t>I.7_EW01</t>
  </si>
  <si>
    <t>11.</t>
  </si>
  <si>
    <t>I.7_EZ02</t>
  </si>
  <si>
    <t>12.</t>
  </si>
  <si>
    <t>Abschreibungen auf Finanzanlagen u. Wertp. des UV</t>
  </si>
  <si>
    <t>I.8_AF10</t>
  </si>
  <si>
    <t>13.</t>
  </si>
  <si>
    <t>Zinsen und ähnliche Aufwendungen</t>
  </si>
  <si>
    <t>I.9_ZA10</t>
  </si>
  <si>
    <t>14.</t>
  </si>
  <si>
    <t>Ergebnis der gewöhnlichen Geschäftstätigkeit</t>
  </si>
  <si>
    <t>15.</t>
  </si>
  <si>
    <t>I.7_EA01</t>
  </si>
  <si>
    <t>16.</t>
  </si>
  <si>
    <t>Außerordentliche Aufwendungen</t>
  </si>
  <si>
    <t>I.9_AA04</t>
  </si>
  <si>
    <t>17.</t>
  </si>
  <si>
    <t>Erträge(+)/Aufwendungen(-) aus Ergebnis-/Gewinn-</t>
  </si>
  <si>
    <t>I.9_GW20 -..</t>
  </si>
  <si>
    <t>abführungsverträgen</t>
  </si>
  <si>
    <t xml:space="preserve"> ..- _AA03</t>
  </si>
  <si>
    <t>18.</t>
  </si>
  <si>
    <t>Steuern vom Einkommen und Ertrag (Erstattungen: neg. Vorzeichen)</t>
  </si>
  <si>
    <t>I.9_ST10</t>
  </si>
  <si>
    <t>19.</t>
  </si>
  <si>
    <t>Sonstige Steuern</t>
  </si>
  <si>
    <t>I.9._XX28</t>
  </si>
  <si>
    <t>20.</t>
  </si>
  <si>
    <t>Jahresüberschuss / Jahresfehlbertrag</t>
  </si>
  <si>
    <t>I.9_GW10</t>
  </si>
  <si>
    <t xml:space="preserve">Differenz (Ergebnis von oben ./. Jahresüberschuss/-fehlbetrag) -&gt; </t>
  </si>
  <si>
    <t xml:space="preserve"> -&gt; muss Null sein</t>
  </si>
  <si>
    <t>Unternehmens-</t>
  </si>
  <si>
    <t>wert</t>
  </si>
  <si>
    <t>außerhalb</t>
  </si>
  <si>
    <t>erwartete</t>
  </si>
  <si>
    <t>Min</t>
  </si>
  <si>
    <t>Erläuterung, falls Min- bzw. Max-</t>
  </si>
  <si>
    <t>Max</t>
  </si>
  <si>
    <t>Wert unter- bzw. überschritten</t>
  </si>
  <si>
    <t>Werte</t>
  </si>
  <si>
    <t xml:space="preserve"> -&gt; X   </t>
  </si>
  <si>
    <t>ist</t>
  </si>
  <si>
    <t>Gesamtbuchwert zu Nutzfläche</t>
  </si>
  <si>
    <t>WE</t>
  </si>
  <si>
    <t>Teil I - Seite 1</t>
  </si>
  <si>
    <t>LW06</t>
  </si>
  <si>
    <t>LW07</t>
  </si>
  <si>
    <t>AV12</t>
  </si>
  <si>
    <t>AV13</t>
  </si>
  <si>
    <t>AV14</t>
  </si>
  <si>
    <t>AV15</t>
  </si>
  <si>
    <t>UV25</t>
  </si>
  <si>
    <t>Forderungen aus Vermietung</t>
  </si>
  <si>
    <t>UV23</t>
  </si>
  <si>
    <t>Bausparguthaben</t>
  </si>
  <si>
    <t>UV24</t>
  </si>
  <si>
    <t>Einzahlungen auf Bausparguthaben</t>
  </si>
  <si>
    <t>LW08</t>
  </si>
  <si>
    <t>BULA</t>
  </si>
  <si>
    <t>SP11</t>
  </si>
  <si>
    <t>K52</t>
  </si>
  <si>
    <t>K53</t>
  </si>
  <si>
    <t>K54</t>
  </si>
  <si>
    <t>SE08</t>
  </si>
  <si>
    <t>AS03</t>
  </si>
  <si>
    <t>MW11</t>
  </si>
  <si>
    <t>nachträgliche Herstellungskosten für Wohnbauten + zugehörige Außenanlagen</t>
  </si>
  <si>
    <t>Haftkapital zum 31.12. des Geschäftsjahres lt. Bilanz</t>
  </si>
  <si>
    <t>Ankaufstätigkeit</t>
  </si>
  <si>
    <t>Euro</t>
  </si>
  <si>
    <t>ANK01</t>
  </si>
  <si>
    <t>ANK02</t>
  </si>
  <si>
    <t>Jahr</t>
  </si>
  <si>
    <t>PB30</t>
  </si>
  <si>
    <t>EE01</t>
  </si>
  <si>
    <t>EE02</t>
  </si>
  <si>
    <t>EE03</t>
  </si>
  <si>
    <t>PE01</t>
  </si>
  <si>
    <t>PE02</t>
  </si>
  <si>
    <t>PE03</t>
  </si>
  <si>
    <t>VE01</t>
  </si>
  <si>
    <t>VE02</t>
  </si>
  <si>
    <t>VE03</t>
  </si>
  <si>
    <t>FE10</t>
  </si>
  <si>
    <t>EN10</t>
  </si>
  <si>
    <t>IV10</t>
  </si>
  <si>
    <t>KA03</t>
  </si>
  <si>
    <t>KA04</t>
  </si>
  <si>
    <t>AV08</t>
  </si>
  <si>
    <t>AV11</t>
  </si>
  <si>
    <t>AK08</t>
  </si>
  <si>
    <t>KA07</t>
  </si>
  <si>
    <t>KA08</t>
  </si>
  <si>
    <t>AV09</t>
  </si>
  <si>
    <t>AV10</t>
  </si>
  <si>
    <t>UV10</t>
  </si>
  <si>
    <t>UV20</t>
  </si>
  <si>
    <t>BS10</t>
  </si>
  <si>
    <t>HK10</t>
  </si>
  <si>
    <t>EK09</t>
  </si>
  <si>
    <t>EK10</t>
  </si>
  <si>
    <t>SP09</t>
  </si>
  <si>
    <t>SP10</t>
  </si>
  <si>
    <t>ZS10</t>
  </si>
  <si>
    <t>AS10</t>
  </si>
  <si>
    <t>LR10</t>
  </si>
  <si>
    <t>FK10</t>
  </si>
  <si>
    <t>TI10</t>
  </si>
  <si>
    <t>LV10</t>
  </si>
  <si>
    <t>KV10</t>
  </si>
  <si>
    <t>GK09</t>
  </si>
  <si>
    <t>GK10</t>
  </si>
  <si>
    <t>UE10</t>
  </si>
  <si>
    <t>UE01</t>
  </si>
  <si>
    <t>UE02</t>
  </si>
  <si>
    <t>UE03</t>
  </si>
  <si>
    <t>ES11</t>
  </si>
  <si>
    <t>ES12</t>
  </si>
  <si>
    <t>ES02</t>
  </si>
  <si>
    <t>UE04</t>
  </si>
  <si>
    <t>UE20</t>
  </si>
  <si>
    <t>UE30</t>
  </si>
  <si>
    <t>UE40</t>
  </si>
  <si>
    <t>BV10</t>
  </si>
  <si>
    <t>SE10</t>
  </si>
  <si>
    <t>SE01</t>
  </si>
  <si>
    <t>SE02</t>
  </si>
  <si>
    <t>SE03</t>
  </si>
  <si>
    <t>SE04</t>
  </si>
  <si>
    <t>AH10</t>
  </si>
  <si>
    <t>BK01</t>
  </si>
  <si>
    <t>HK01</t>
  </si>
  <si>
    <t>IK01</t>
  </si>
  <si>
    <t>EZ01</t>
  </si>
  <si>
    <t>PA01</t>
  </si>
  <si>
    <t>SA01</t>
  </si>
  <si>
    <t>BK02</t>
  </si>
  <si>
    <t>HK02</t>
  </si>
  <si>
    <t>IK02</t>
  </si>
  <si>
    <t>LG10</t>
  </si>
  <si>
    <t>LG01</t>
  </si>
  <si>
    <t>LG02</t>
  </si>
  <si>
    <t>LG03</t>
  </si>
  <si>
    <t>LG05</t>
  </si>
  <si>
    <t>LG04</t>
  </si>
  <si>
    <t>LG06</t>
  </si>
  <si>
    <t>LG20</t>
  </si>
  <si>
    <t>LG09</t>
  </si>
  <si>
    <t>AA10</t>
  </si>
  <si>
    <t>AI01</t>
  </si>
  <si>
    <t>AS01</t>
  </si>
  <si>
    <t>AS02</t>
  </si>
  <si>
    <t>AH01</t>
  </si>
  <si>
    <t>AF10</t>
  </si>
  <si>
    <t>SA10</t>
  </si>
  <si>
    <t>AM01</t>
  </si>
  <si>
    <t>ZA10</t>
  </si>
  <si>
    <t>ZA01</t>
  </si>
  <si>
    <t>ZA02</t>
  </si>
  <si>
    <t>ZA03</t>
  </si>
  <si>
    <t>ZA04</t>
  </si>
  <si>
    <t>ZA05</t>
  </si>
  <si>
    <t>ZH10</t>
  </si>
  <si>
    <t>ST10</t>
  </si>
  <si>
    <t>GR10</t>
  </si>
  <si>
    <t>GW10</t>
  </si>
  <si>
    <t>GW20</t>
  </si>
  <si>
    <t>BA01</t>
  </si>
  <si>
    <t>BA09</t>
  </si>
  <si>
    <t>BA10</t>
  </si>
  <si>
    <t>BA14</t>
  </si>
  <si>
    <t>BA15</t>
  </si>
  <si>
    <t>BA20</t>
  </si>
  <si>
    <t>UKZ</t>
  </si>
  <si>
    <t>Größe</t>
  </si>
  <si>
    <t>Wert</t>
  </si>
  <si>
    <t>Wohn- / Nutzfläche der durch Miete/Pacht erworbenen Einheiten (Fläche zu K16A)</t>
  </si>
  <si>
    <t>Wohnfläche der durch Miete/Pacht erworbenen Einheiten</t>
  </si>
  <si>
    <r>
      <t xml:space="preserve">  </t>
    </r>
    <r>
      <rPr>
        <u/>
        <sz val="10"/>
        <rFont val="Arial"/>
        <family val="2"/>
      </rPr>
      <t>Durch Miete oder Pacht erworbene Einheiten:</t>
    </r>
  </si>
  <si>
    <r>
      <t>Alle</t>
    </r>
    <r>
      <rPr>
        <sz val="10"/>
        <rFont val="Arial"/>
        <family val="2"/>
      </rPr>
      <t xml:space="preserve"> Erlöse aus der Bewirtschaftung </t>
    </r>
    <r>
      <rPr>
        <u/>
        <sz val="10"/>
        <rFont val="Arial"/>
        <family val="2"/>
      </rPr>
      <t xml:space="preserve">durch Miete/Pacht erworbene Einheiten </t>
    </r>
  </si>
  <si>
    <r>
      <t xml:space="preserve">nicht abgerechneten Betriebs- und Heizkosten durch </t>
    </r>
    <r>
      <rPr>
        <u/>
        <sz val="10"/>
        <rFont val="Arial"/>
        <family val="2"/>
      </rPr>
      <t>Miete/Pacht erworbene Einheiten</t>
    </r>
  </si>
  <si>
    <r>
      <t xml:space="preserve">für durch </t>
    </r>
    <r>
      <rPr>
        <u/>
        <sz val="10"/>
        <rFont val="Arial"/>
        <family val="2"/>
      </rPr>
      <t>Miete/Pacht</t>
    </r>
    <r>
      <rPr>
        <sz val="10"/>
        <rFont val="Arial"/>
        <family val="2"/>
      </rPr>
      <t xml:space="preserve"> erworbene Einheiten</t>
    </r>
  </si>
  <si>
    <r>
      <t xml:space="preserve">Anlagenabnutzungsgrad 
</t>
    </r>
    <r>
      <rPr>
        <sz val="10"/>
        <rFont val="Arial"/>
        <family val="2"/>
      </rPr>
      <t>Kumulierte Abschreibungen auf Sachanlagen x 100 : (ursprüngliche / historische) Anschaffungs- / Herstellungskosten</t>
    </r>
  </si>
  <si>
    <r>
      <t xml:space="preserve">Tilgungskraft
</t>
    </r>
    <r>
      <rPr>
        <sz val="10"/>
        <rFont val="Arial"/>
        <family val="2"/>
      </rPr>
      <t>Cash-Flow/planmäßige Tilgung der Objektfinanzierungsmittel</t>
    </r>
  </si>
  <si>
    <t>CF01</t>
  </si>
  <si>
    <t>CF02</t>
  </si>
  <si>
    <r>
      <t xml:space="preserve">vereinfachte finanzw. Gesamtkapitalrentabilität 
</t>
    </r>
    <r>
      <rPr>
        <sz val="10"/>
        <rFont val="Arial"/>
        <family val="2"/>
      </rPr>
      <t>(Cash-Flow (vereinfacht) + Fremdkapitalzinsen) x 100 :  Gesamtkapital</t>
    </r>
  </si>
  <si>
    <r>
      <t xml:space="preserve">Vereinfachte Tilgungskraft
</t>
    </r>
    <r>
      <rPr>
        <sz val="10"/>
        <rFont val="Arial"/>
        <family val="2"/>
      </rPr>
      <t>Cash-Flow (vereinfacht) / planmäßige Tilgung der Objektfinanzierungsmittel</t>
    </r>
  </si>
  <si>
    <r>
      <t xml:space="preserve">vereinfachte finanzw. Eigenkapitalrentabilität  
</t>
    </r>
    <r>
      <rPr>
        <sz val="10"/>
        <rFont val="Arial"/>
        <family val="2"/>
      </rPr>
      <t>Cash-Flow (vereinfacht) x 100 :  Eigenkapital</t>
    </r>
  </si>
  <si>
    <r>
      <t>Durchschnittliche Gesamtbetriebskosten (Fremdkosten)</t>
    </r>
    <r>
      <rPr>
        <sz val="10"/>
        <rFont val="Arial"/>
      </rPr>
      <t xml:space="preserve">
(Summe Betriebskosten insgesamt +  Grundsteuern)  eigene Einheiten: Summe Wohn-/Nutzfläche insgesamt : 12</t>
    </r>
  </si>
  <si>
    <r>
      <t>Durchschnittliche Instandhaltungskosten (Fremdkosten)</t>
    </r>
    <r>
      <rPr>
        <sz val="10"/>
        <rFont val="Arial"/>
      </rPr>
      <t xml:space="preserve">
(Fremdkosten für Instandhaltung - Versicherungserstattungen) eigene Einheiten : Summe Wohn-/Nutzfläche insgesamt : 12</t>
    </r>
  </si>
  <si>
    <r>
      <t>Durchschnittliche jährliche Instandhaltungskosten (Fremdkosten)</t>
    </r>
    <r>
      <rPr>
        <sz val="10"/>
        <rFont val="Arial"/>
      </rPr>
      <t xml:space="preserve">
(Fremdkosten für Instandhaltung - Versicherungserstattungen) eigene Einheiten: Summe Wohn-/Nutzfläche insgesamt </t>
    </r>
  </si>
  <si>
    <r>
      <t>Durchschnittlicher Gebäude- und Grundstücksbuchwert</t>
    </r>
    <r>
      <rPr>
        <sz val="10"/>
        <rFont val="Arial"/>
        <family val="2"/>
      </rPr>
      <t xml:space="preserve">
Gebäude- und Grundstücksbuchwert zu qm Wohn-/Nutzfläche eigene Einheiten</t>
    </r>
  </si>
  <si>
    <r>
      <t xml:space="preserve">Vereinfachter Innenfinanzierungsgrad I 
</t>
    </r>
    <r>
      <rPr>
        <sz val="10"/>
        <rFont val="Arial"/>
        <family val="2"/>
      </rPr>
      <t>Cash-Flow (vereinfacht) x 100 : Nettoinvestition</t>
    </r>
  </si>
  <si>
    <r>
      <t xml:space="preserve">Vereinfachter Innenfinanzierungsgrad II 
</t>
    </r>
    <r>
      <rPr>
        <sz val="10"/>
        <rFont val="Arial"/>
        <family val="2"/>
      </rPr>
      <t>(Cash-Flow (vereinfacht) - Tilgungen) x 100 : Nettoinvestitionen</t>
    </r>
  </si>
  <si>
    <r>
      <t xml:space="preserve">Vereinfachter dynamischer Verschuldungsgrad 
</t>
    </r>
    <r>
      <rPr>
        <sz val="10"/>
        <rFont val="Arial"/>
        <family val="2"/>
      </rPr>
      <t>Effektivverschuldung : Cash-Flow (vereinfacht)</t>
    </r>
  </si>
  <si>
    <t>1.1. Strukturkennzahlen je m² Wohn- / Nutzfläche und Monat bzw. Jahr</t>
  </si>
  <si>
    <r>
      <t>Instandhaltungskostensatz (mit Verwaltungskosten)</t>
    </r>
    <r>
      <rPr>
        <sz val="10"/>
        <rFont val="Arial"/>
      </rPr>
      <t xml:space="preserve">
(Summe Instandhaltungskosten insgesamt + Regiebetriebskosten + anteil. Personal- und Sachaufwand (betreffend Instandhaltung)) : 
Summe Wohn-/Nutzfläche insgesamt : 12</t>
    </r>
  </si>
  <si>
    <r>
      <t>planmäßige Abschreibung auf Sachanlagen der Hausbewirtschaftung</t>
    </r>
    <r>
      <rPr>
        <sz val="10"/>
        <rFont val="Arial"/>
      </rPr>
      <t xml:space="preserve">
Planmäßige Abschreibungen der Hausbewirtschaftung auf Sachanlagen insges. (ohne Abschreibungen für BAB) : 
Summe Wohn-/Nutzfläche insgesamt : 12</t>
    </r>
  </si>
  <si>
    <r>
      <t>Fremdkapitalzinsen-Hausbewirtschaftung</t>
    </r>
    <r>
      <rPr>
        <sz val="10"/>
        <rFont val="Arial"/>
      </rPr>
      <t xml:space="preserve">
(Fremdkapitalaufwendungen (langfristig) und Erbbauzinsaufw. für Vermietungsobjekte) : 
Summe Wohn-/Nutzfläche insgesamt : 12</t>
    </r>
  </si>
  <si>
    <r>
      <t>Verwaltungskosten für eigene Einheiten</t>
    </r>
    <r>
      <rPr>
        <sz val="10"/>
        <rFont val="Arial"/>
      </rPr>
      <t xml:space="preserve">
Anteiliger Personal- und Sachaufwand für Verwaltung (Verwaltungskosten der Hausbewirtschaftung) : 
Summe Wohn-/Nutzfläche insgesamt : 12</t>
    </r>
  </si>
  <si>
    <r>
      <t>Zinsdeckung</t>
    </r>
    <r>
      <rPr>
        <sz val="10"/>
        <rFont val="Arial"/>
      </rPr>
      <t xml:space="preserve">
Fremdkapitalaufwendungen (langfristig) +  Erbbauzinsaufwand für Vermietungsobjekte in % der Sollmieten</t>
    </r>
  </si>
  <si>
    <r>
      <t>Kapitaldienstdeckung</t>
    </r>
    <r>
      <rPr>
        <sz val="10"/>
        <rFont val="Arial"/>
        <family val="2"/>
      </rPr>
      <t xml:space="preserve">
Kapitaldienst (+Disagioauflösung) auf Objektfinanzierungsmittel +Erbauzinsen in % der Sollmieten einschließlich Zuschüssen</t>
    </r>
  </si>
  <si>
    <r>
      <t>eigene Verwaltungskostenquote</t>
    </r>
    <r>
      <rPr>
        <sz val="10"/>
        <rFont val="Arial"/>
      </rPr>
      <t xml:space="preserve">
Anteiliger Personal- und Sachaufwand für Verwaltung (Verwaltungskosten der Hausbewirtschaftung) in % der Sollmieten</t>
    </r>
  </si>
  <si>
    <r>
      <t>Zinsdeckung (Istmiete)</t>
    </r>
    <r>
      <rPr>
        <sz val="10"/>
        <rFont val="Arial"/>
        <family val="2"/>
      </rPr>
      <t xml:space="preserve">
Fremdkapitalaufwendungen (langfristig) +  Erbbauzinsaufwand für Vermietungsobjekte in % der Istmiete einschließlich Zuschüssen</t>
    </r>
  </si>
  <si>
    <r>
      <t>Kapitaldienstdeckung (Istmiete)</t>
    </r>
    <r>
      <rPr>
        <sz val="10"/>
        <rFont val="Arial"/>
        <family val="2"/>
      </rPr>
      <t xml:space="preserve">
Kapitaldienst (+Disagioauflösung) auf Objektfinanzierungsmittel +Erbauzinsen in % der Istmiete einschließlich Zuschüssen</t>
    </r>
  </si>
  <si>
    <r>
      <t>Durchschnittliche Personalkosten/Mitarbeiter</t>
    </r>
    <r>
      <rPr>
        <sz val="10"/>
        <rFont val="Arial"/>
        <family val="2"/>
      </rPr>
      <t xml:space="preserve">
Summe persönlicher Kosten </t>
    </r>
    <r>
      <rPr>
        <u/>
        <sz val="10"/>
        <rFont val="Arial"/>
        <family val="2"/>
      </rPr>
      <t>aller</t>
    </r>
    <r>
      <rPr>
        <sz val="10"/>
        <rFont val="Arial"/>
        <family val="2"/>
      </rPr>
      <t xml:space="preserve"> aktiv Beschäftigter : 
Summe (akt.) Personalbestand</t>
    </r>
  </si>
  <si>
    <r>
      <t>Umsatzerlöse/Mitarbeiter</t>
    </r>
    <r>
      <rPr>
        <sz val="10"/>
        <rFont val="Arial"/>
        <family val="2"/>
      </rPr>
      <t xml:space="preserve">
Summe Umsatzerlöse : 
Summe (akt.) Personalbestand</t>
    </r>
  </si>
  <si>
    <r>
      <t>Verwaltungskostensatz I</t>
    </r>
    <r>
      <rPr>
        <sz val="10"/>
        <rFont val="Arial"/>
      </rPr>
      <t xml:space="preserve">
durchschnittlicher Personal- und Sachaufwand je WE für eigene und durch Treuhand u./o. Verwaltervertrag betreute Einheiten insgesamt </t>
    </r>
  </si>
  <si>
    <r>
      <t>Verwaltungskostensatz III</t>
    </r>
    <r>
      <rPr>
        <sz val="10"/>
        <rFont val="Arial"/>
      </rPr>
      <t xml:space="preserve">
durchschnittlicher Personal- und Sachaufwand je WE für durch Treuhand u./o. Verwaltervertrag betreute Einheiten (verwaltungsmäßige Betreuung)</t>
    </r>
  </si>
  <si>
    <r>
      <t>Verwaltete Einheiten je Mitarbeiter</t>
    </r>
    <r>
      <rPr>
        <sz val="10"/>
        <rFont val="Arial"/>
      </rPr>
      <t xml:space="preserve">
Summe WE insgesamt (eigene und übrige verwaltete WE) : Summe Personal Hausbewirtschaftung und verwaltungsmäßige Betreuung (Beschäftigungsgrad Hausbewirtschaftung / verwaltungsmäßige Betreuung)</t>
    </r>
  </si>
  <si>
    <t>X</t>
  </si>
  <si>
    <r>
      <t>X</t>
    </r>
    <r>
      <rPr>
        <sz val="8"/>
        <color indexed="12"/>
        <rFont val="Arial"/>
        <family val="2"/>
      </rPr>
      <t xml:space="preserve"> = unbedingte Angabe für Teil II</t>
    </r>
  </si>
  <si>
    <r>
      <t xml:space="preserve">Anlagenintensität 
</t>
    </r>
    <r>
      <rPr>
        <sz val="10"/>
        <rFont val="Arial"/>
        <family val="2"/>
      </rPr>
      <t>Anlagevermögen x 100 : Gesamtkapital (=Bilanzsumme)</t>
    </r>
  </si>
  <si>
    <r>
      <t>Eigenkapital</t>
    </r>
    <r>
      <rPr>
        <sz val="10"/>
        <rFont val="Arial"/>
      </rPr>
      <t xml:space="preserve">
Eigenkapital (Bilanz) + 3/4 Sonderposten mit Rücklageanteil</t>
    </r>
  </si>
  <si>
    <r>
      <t xml:space="preserve">Gesamtkapitalrentabilität vor Ertragsteuern </t>
    </r>
    <r>
      <rPr>
        <sz val="10"/>
        <rFont val="Arial"/>
        <family val="2"/>
      </rPr>
      <t xml:space="preserve">(Jahresüberschuss bzw. -fehlbetrag vor Ertragsteuern + Fremdkapitalzinsen) x 100 :  Gesamtkapital </t>
    </r>
  </si>
  <si>
    <r>
      <t xml:space="preserve">Gesamtkapitalrentabilität nach Ertragsteuern </t>
    </r>
    <r>
      <rPr>
        <sz val="10"/>
        <rFont val="Arial"/>
        <family val="2"/>
      </rPr>
      <t xml:space="preserve">(Jahresüberschuss bzw. -fehlbetrag nach Ertragsteuern + Fremdkapitalzinsen) x 100 :  Gesamtkapital </t>
    </r>
  </si>
  <si>
    <r>
      <t xml:space="preserve">Return on Investment 
</t>
    </r>
    <r>
      <rPr>
        <sz val="10"/>
        <rFont val="Arial"/>
        <family val="2"/>
      </rPr>
      <t>Jahresüberschuss bzw. -fehlbetrag x 100 : Gesamtkapital</t>
    </r>
  </si>
  <si>
    <r>
      <t xml:space="preserve">finanzw. Eigenkapitalrentabilität 
</t>
    </r>
    <r>
      <rPr>
        <sz val="10"/>
        <rFont val="Arial"/>
        <family val="2"/>
      </rPr>
      <t>Cash-Flow x 100 :  Eigenkapital</t>
    </r>
  </si>
  <si>
    <r>
      <t>Eigenkapitalrentabilität (durchschnittliches Eigenkapital) nach Ertragsteuern</t>
    </r>
    <r>
      <rPr>
        <sz val="10"/>
        <rFont val="Arial"/>
        <family val="2"/>
      </rPr>
      <t xml:space="preserve"> 
Jahresüberschuss bzw. -fehlbetrag </t>
    </r>
    <r>
      <rPr>
        <u/>
        <sz val="10"/>
        <rFont val="Arial"/>
        <family val="2"/>
      </rPr>
      <t>nach</t>
    </r>
    <r>
      <rPr>
        <sz val="10"/>
        <rFont val="Arial"/>
        <family val="2"/>
      </rPr>
      <t xml:space="preserve"> Ertragsteuern x 100 : durchschnittliches Eigenkapital</t>
    </r>
  </si>
  <si>
    <r>
      <t>Eigenkapitalrentabilität (durchschnittliches Eigenkapital) vor Ertragsteuern</t>
    </r>
    <r>
      <rPr>
        <sz val="10"/>
        <rFont val="Arial"/>
        <family val="2"/>
      </rPr>
      <t xml:space="preserve"> 
Jahresüberschuss bzw. -fehlbetrag </t>
    </r>
    <r>
      <rPr>
        <u/>
        <sz val="10"/>
        <rFont val="Arial"/>
        <family val="2"/>
      </rPr>
      <t>vor</t>
    </r>
    <r>
      <rPr>
        <sz val="10"/>
        <rFont val="Arial"/>
        <family val="2"/>
      </rPr>
      <t xml:space="preserve"> Ertragsteuern x 100 : durchschnittliches Eigenkapital</t>
    </r>
  </si>
  <si>
    <r>
      <t xml:space="preserve">finanzw. Return on Investment 
</t>
    </r>
    <r>
      <rPr>
        <sz val="10"/>
        <rFont val="Arial"/>
        <family val="2"/>
      </rPr>
      <t>Cash-Flow x 100 : Gesamtkapital</t>
    </r>
  </si>
  <si>
    <r>
      <t xml:space="preserve">vereinfachter finanzw. Return on Investment 
</t>
    </r>
    <r>
      <rPr>
        <sz val="10"/>
        <rFont val="Arial"/>
        <family val="2"/>
      </rPr>
      <t>Cash-Flow (vereinfacht) x 100 : Gesamtkapital</t>
    </r>
  </si>
  <si>
    <r>
      <t xml:space="preserve">Cash-Flow-Marge 
</t>
    </r>
    <r>
      <rPr>
        <sz val="10"/>
        <rFont val="Arial"/>
        <family val="2"/>
      </rPr>
      <t>Cash-Flow x 100 : Umsatz</t>
    </r>
  </si>
  <si>
    <r>
      <t xml:space="preserve">Kapitalumschlag 
</t>
    </r>
    <r>
      <rPr>
        <sz val="10"/>
        <rFont val="Arial"/>
        <family val="2"/>
      </rPr>
      <t>Umsatz x 100 :  Gesamtkapital</t>
    </r>
  </si>
  <si>
    <r>
      <t xml:space="preserve">finanzw. Return on "Brutto"-Investment 
</t>
    </r>
    <r>
      <rPr>
        <sz val="10"/>
        <rFont val="Arial"/>
        <family val="2"/>
      </rPr>
      <t>Cash-Flow x 100 : ( Gesamtkapital +  kumulierte Abschreibungen)</t>
    </r>
  </si>
  <si>
    <r>
      <t>Leerstandsquote (Abriss) Mietwohnungen</t>
    </r>
    <r>
      <rPr>
        <sz val="10"/>
        <rFont val="Arial"/>
      </rPr>
      <t xml:space="preserve">
Durchschnittsbestand leerstehende Mietwohnungen auf Grund von Abrissmaßnahmen pro Jahr x 100 : gesamter Bestand an Mietwohnungen des Geschäftsjahres</t>
    </r>
  </si>
  <si>
    <r>
      <t>Leerstandsquote (Modernisierung) Mietwohnungen</t>
    </r>
    <r>
      <rPr>
        <sz val="10"/>
        <rFont val="Arial"/>
      </rPr>
      <t xml:space="preserve">
Durchschnittsbestand leerstehende Mietwohnungen auf Grund von Modernisierungsmaßnahmen pro Jahr x 100 : gesamter Bestand an Mietwohnungen des Geschäftsjahres</t>
    </r>
  </si>
  <si>
    <r>
      <t>Leerstandsquote (Verkäufe) Mietwohnungen</t>
    </r>
    <r>
      <rPr>
        <sz val="10"/>
        <rFont val="Arial"/>
      </rPr>
      <t xml:space="preserve">
Durchschnittsbestand leerstehende Mietwohnungen auf Grund von Verkäufen pro Jahr x 100 : gesamter Bestand an Mietwohnungen des Geschäftsjahres</t>
    </r>
  </si>
  <si>
    <r>
      <t>Leerstandsquote (Vermietungsschwierigkeiten) Mietwohnungen</t>
    </r>
    <r>
      <rPr>
        <sz val="10"/>
        <rFont val="Arial"/>
      </rPr>
      <t xml:space="preserve">
Durchschnittsbestand leerstehende Mietwohnungen auf Grund von Vermietungsschwierigkeiten pro Jahr x 100 : 
gesamter Bestand an Mietwohnungen des Geschäftsjahres</t>
    </r>
  </si>
  <si>
    <r>
      <t>Leerstandsquote (Stilllegung) Mietwohnungen</t>
    </r>
    <r>
      <rPr>
        <sz val="10"/>
        <rFont val="Arial"/>
      </rPr>
      <t xml:space="preserve">
Durchschnittsbestand leerstehende Mietwohnungen auf Grund von Stillegung pro Jahr x 100 : 
gesamter Bestand an Mietwohnungen des Geschäftsjahres</t>
    </r>
  </si>
  <si>
    <r>
      <t>Abschreibungen auf Mietforderungen</t>
    </r>
    <r>
      <rPr>
        <sz val="10"/>
        <rFont val="Arial"/>
      </rPr>
      <t xml:space="preserve">
Abschreibungen und Wertberichtigungen auf Forderungen aus Vermietung : Summe Wohn-/Nutzfläche insgesamt : 12</t>
    </r>
  </si>
  <si>
    <r>
      <t>Maßnahmenbedingte Erlössschmälerungsquote</t>
    </r>
    <r>
      <rPr>
        <sz val="10"/>
        <rFont val="Arial"/>
      </rPr>
      <t xml:space="preserve">
Maßnahmebedingte Erlösschmälerungen nur betreffend  Mieten des Geschäftsjahres in % der Sollmieten
(d.h.: gewollte, geplante Leerstände durch Abriss, Verkauf, Umbau, Modernisierung, Instandsetzung u.ä.m) </t>
    </r>
  </si>
  <si>
    <r>
      <t>Abschreibungsquote (Mietforderungen)</t>
    </r>
    <r>
      <rPr>
        <sz val="10"/>
        <rFont val="Arial"/>
      </rPr>
      <t xml:space="preserve">
Abschreibungen und Wertberichtigungen  des Geschäftsjahres auf  Forderungen aus Vermietung in % der Sollmieten</t>
    </r>
  </si>
  <si>
    <r>
      <t>Geldrechnungsmäßiges Ergebnis Hausbewirtschaftung</t>
    </r>
    <r>
      <rPr>
        <sz val="10"/>
        <rFont val="Arial"/>
      </rPr>
      <t xml:space="preserve">
Geldrechnungsmäßiges Ergebnis Hausbewirtschaft in % der Sollmieten einschließlich Mietsubventionen</t>
    </r>
  </si>
  <si>
    <r>
      <t>Durchschnittliche Personalkosten/Verwaltungsmitarbeiter</t>
    </r>
    <r>
      <rPr>
        <sz val="10"/>
        <rFont val="Arial"/>
      </rPr>
      <t xml:space="preserve">
Summe persönlicher Kosten aktiver Beschäftigter (ohne Regie/Hauswarte) : 
Summe (akt.) Personalbestand (ohne Regie/Hauswarte)</t>
    </r>
  </si>
  <si>
    <t>Kennz_K06D</t>
  </si>
  <si>
    <r>
      <t xml:space="preserve">       davon  </t>
    </r>
    <r>
      <rPr>
        <sz val="10"/>
        <rFont val="Arial"/>
        <family val="2"/>
      </rPr>
      <t>Abgeltungssteuer für EK02</t>
    </r>
  </si>
  <si>
    <t>Übernahme der Daten aus dem Erfassungsbogen in die ALEA-Datenbank</t>
  </si>
  <si>
    <t>Kontrollen der Erfasssung</t>
  </si>
  <si>
    <t>Kontrolle bestimmter Werte</t>
  </si>
  <si>
    <t>Kennzahlen des Unternehmens</t>
  </si>
  <si>
    <t>Unternehmen</t>
  </si>
  <si>
    <t>1. Aus dem Jahresabschluss abgeleitete Kennzahlen</t>
  </si>
  <si>
    <t>Bezeichnung</t>
  </si>
  <si>
    <t>Dimension</t>
  </si>
  <si>
    <t>Bilanzsumme</t>
  </si>
  <si>
    <t>Eigenkapital</t>
  </si>
  <si>
    <t>Sachanlagevermögen</t>
  </si>
  <si>
    <t>Jahresüberschuss / -fehlbetrag</t>
  </si>
  <si>
    <t>Erträge aus Anlageverkäufen</t>
  </si>
  <si>
    <t>Personalkosten</t>
  </si>
  <si>
    <t>2. Bestandskennzahlen</t>
  </si>
  <si>
    <t>m²</t>
  </si>
  <si>
    <t>A. Absolute Unternehmenskennzahlen für internen 5-Jahresvergleich</t>
  </si>
  <si>
    <t>B. Relative Unternehmenskennzahlen im externen Vergleich</t>
  </si>
  <si>
    <t>1. Kennzahlen zur Vermögens- und Kapitalstruktur</t>
  </si>
  <si>
    <t>%</t>
  </si>
  <si>
    <t xml:space="preserve">2. Kennzahlen zur Rentabilität und zum Cash-Flow </t>
  </si>
  <si>
    <t>Veränderungen der Investitionszulage</t>
  </si>
  <si>
    <t>3. Ausgewählte Kennzahlen zur Hausbewirtschaftung</t>
  </si>
  <si>
    <t>3.1. Strukturkennzahlen je m² Wohn-/Nutzfläche und Monat bzw. Jahr</t>
  </si>
  <si>
    <t>1. Kennzahlen zur Hausbewirtschaftung (Spartenergebnis)</t>
  </si>
  <si>
    <t>2. Kennzahlen zum Personal- und Sachaufwand</t>
  </si>
  <si>
    <t>Kontrolliert durch</t>
  </si>
  <si>
    <t>PB01</t>
  </si>
  <si>
    <t>PB02</t>
  </si>
  <si>
    <t>PB03</t>
  </si>
  <si>
    <t>PB04</t>
  </si>
  <si>
    <t>PB05</t>
  </si>
  <si>
    <t>PB06</t>
  </si>
  <si>
    <t>PB10</t>
  </si>
  <si>
    <t>Kfm. Angestellte</t>
  </si>
  <si>
    <t>Technische Angestellte</t>
  </si>
  <si>
    <t>Beschäftigte im Regiebetrieb</t>
  </si>
  <si>
    <t>Auszubildende</t>
  </si>
  <si>
    <t>Insgesamt</t>
  </si>
  <si>
    <t>Immaterielle Vermögensgegenstände (lt. Bilanz)</t>
  </si>
  <si>
    <t>Finanzanlagen (lt. Bilanz)</t>
  </si>
  <si>
    <t>Anlagevermögen (lt. Bilanz) insgesamt</t>
  </si>
  <si>
    <t>AV 10 + UV 10 + UV 20</t>
  </si>
  <si>
    <t>XX05</t>
  </si>
  <si>
    <t>XX06</t>
  </si>
  <si>
    <t>XX07</t>
  </si>
  <si>
    <t>Rückstellungen für Pensionen lt. Bilanz</t>
  </si>
  <si>
    <t>Rückstellungen für Bauinstandhaltung lt. Bilanz</t>
  </si>
  <si>
    <t>XX08</t>
  </si>
  <si>
    <t>XX09</t>
  </si>
  <si>
    <t>XX10</t>
  </si>
  <si>
    <t>SL10</t>
  </si>
  <si>
    <t>XX11</t>
  </si>
  <si>
    <t>XX12</t>
  </si>
  <si>
    <t>EA10</t>
  </si>
  <si>
    <t>FK50</t>
  </si>
  <si>
    <r>
      <t xml:space="preserve">Sollmieten </t>
    </r>
    <r>
      <rPr>
        <sz val="10"/>
        <rFont val="Arial"/>
      </rPr>
      <t xml:space="preserve"> vor Abzug der Erlösschmälerungen</t>
    </r>
  </si>
  <si>
    <t>Mietsubventionen</t>
  </si>
  <si>
    <t>XX13</t>
  </si>
  <si>
    <t>XX14</t>
  </si>
  <si>
    <t>XX16</t>
  </si>
  <si>
    <t>XX15</t>
  </si>
  <si>
    <t>XX17</t>
  </si>
  <si>
    <t>Erbbauzinsen</t>
  </si>
  <si>
    <t>XX18</t>
  </si>
  <si>
    <t>XX19</t>
  </si>
  <si>
    <t xml:space="preserve">Löhne und Gehälter </t>
  </si>
  <si>
    <t xml:space="preserve">Soziale Abgaben </t>
  </si>
  <si>
    <t>Aufwendungen für Altersversorgung</t>
  </si>
  <si>
    <t>XX20</t>
  </si>
  <si>
    <t>Sächliche Verwaltungskosten</t>
  </si>
  <si>
    <t>Verbleibende Aufwendungen</t>
  </si>
  <si>
    <t>XX21</t>
  </si>
  <si>
    <t>XX22</t>
  </si>
  <si>
    <t>XX23</t>
  </si>
  <si>
    <t>XX24</t>
  </si>
  <si>
    <t>XX25</t>
  </si>
  <si>
    <t>XX26</t>
  </si>
  <si>
    <t>XX27</t>
  </si>
  <si>
    <t>XX28</t>
  </si>
  <si>
    <t>LR09A</t>
  </si>
  <si>
    <t>Andere Rückstellungen lt. Bilanz</t>
  </si>
  <si>
    <t>SE07</t>
  </si>
  <si>
    <t>SE09</t>
  </si>
  <si>
    <t>Aktivierte Modernisierungskosten Wohnbauten und zugehörige Außenanlagen</t>
  </si>
  <si>
    <t>K16A</t>
  </si>
  <si>
    <t>K48C</t>
  </si>
  <si>
    <t>Z18D</t>
  </si>
  <si>
    <t>K35A</t>
  </si>
  <si>
    <t>Sollmieten der eigenen  Einheiten</t>
  </si>
  <si>
    <r>
      <t xml:space="preserve">Erlöse </t>
    </r>
    <r>
      <rPr>
        <i/>
        <u/>
        <sz val="10"/>
        <rFont val="Arial"/>
        <family val="2"/>
      </rPr>
      <t>eigener</t>
    </r>
    <r>
      <rPr>
        <i/>
        <sz val="10"/>
        <rFont val="Arial"/>
        <family val="2"/>
      </rPr>
      <t xml:space="preserve"> Einheiten</t>
    </r>
  </si>
  <si>
    <r>
      <t xml:space="preserve">Erlösschmälerungen </t>
    </r>
    <r>
      <rPr>
        <i/>
        <u/>
        <sz val="10"/>
        <rFont val="Arial"/>
        <family val="2"/>
      </rPr>
      <t>eigener</t>
    </r>
    <r>
      <rPr>
        <i/>
        <sz val="10"/>
        <rFont val="Arial"/>
        <family val="2"/>
      </rPr>
      <t xml:space="preserve"> Einheiten </t>
    </r>
    <r>
      <rPr>
        <sz val="8"/>
        <color indexed="10"/>
        <rFont val="Arial"/>
        <family val="2"/>
      </rPr>
      <t>(alle Eingaben ohne Vorzeichen)</t>
    </r>
  </si>
  <si>
    <r>
      <t xml:space="preserve">Sonstige Erlöse </t>
    </r>
    <r>
      <rPr>
        <u/>
        <sz val="10"/>
        <rFont val="Arial"/>
        <family val="2"/>
      </rPr>
      <t>eigener</t>
    </r>
    <r>
      <rPr>
        <sz val="10"/>
        <rFont val="Arial"/>
        <family val="2"/>
      </rPr>
      <t xml:space="preserve"> Einheiten</t>
    </r>
  </si>
  <si>
    <t>UE07</t>
  </si>
  <si>
    <t>Erlösschmälerungen zur Sollmiete eigener Einheiten</t>
  </si>
  <si>
    <t>Betriebskostenausfälle eigener Einheiten</t>
  </si>
  <si>
    <t>(geht nicht in die Berechnung der Bilanzsumme (BS10) ein)</t>
  </si>
  <si>
    <t xml:space="preserve">       ("Löhne und Gehälter" zzgl."Soziale Abgaben und Aufwendungen für Altersvers. und Unterst.")</t>
  </si>
  <si>
    <t>Cash-Flow ohne Investitionszulage</t>
  </si>
  <si>
    <t>Sonstige Aufwendungen (Kosten für Miet- u. Räumungsklagen u.a.)</t>
  </si>
  <si>
    <t xml:space="preserve">       (soweit AV-Verkäufe unter UE20/UE50 gezeigt werden, sind die entsprechenden Aufwendungen hier 
       ebenfalls zu zeigen)</t>
  </si>
  <si>
    <r>
      <t xml:space="preserve">Aufwendungen für </t>
    </r>
    <r>
      <rPr>
        <i/>
        <u/>
        <sz val="10"/>
        <color indexed="8"/>
        <rFont val="Arial"/>
        <family val="2"/>
      </rPr>
      <t xml:space="preserve">eigene Einheiten </t>
    </r>
  </si>
  <si>
    <t>K14B</t>
  </si>
  <si>
    <t>Cash-Flow vor Instandhaltungskosten</t>
  </si>
  <si>
    <r>
      <t xml:space="preserve">EBITDA-Return
</t>
    </r>
    <r>
      <rPr>
        <sz val="10"/>
        <rFont val="Arial"/>
        <family val="2"/>
      </rPr>
      <t>EBITDA x 100 : ( Gesamtkapital +  kumulierte Abschreibungen)</t>
    </r>
  </si>
  <si>
    <t>K39B</t>
  </si>
  <si>
    <t>K24A</t>
  </si>
  <si>
    <r>
      <t xml:space="preserve">Fremdkapitalqoute 
</t>
    </r>
    <r>
      <rPr>
        <sz val="10"/>
        <rFont val="Arial"/>
        <family val="2"/>
      </rPr>
      <t>Fremdkapital x 100 : Bilanzsumme</t>
    </r>
  </si>
  <si>
    <t>HINWEIS!</t>
  </si>
  <si>
    <t>K30B</t>
  </si>
  <si>
    <t>K31A</t>
  </si>
  <si>
    <t>K32A</t>
  </si>
  <si>
    <t>K33B</t>
  </si>
  <si>
    <t>K36A</t>
  </si>
  <si>
    <t>K37A</t>
  </si>
  <si>
    <t>K38A</t>
  </si>
  <si>
    <t>Personen</t>
  </si>
  <si>
    <t>Plausibilitäts</t>
  </si>
  <si>
    <t>hinweis!</t>
  </si>
  <si>
    <t>Angabe betrifft</t>
  </si>
  <si>
    <r>
      <t xml:space="preserve">durchschn. Fremdkapitalkostensatz (lgfr.) </t>
    </r>
    <r>
      <rPr>
        <sz val="10"/>
        <rFont val="Arial"/>
        <family val="2"/>
      </rPr>
      <t>Fremdkapitalaufwendungen (langfristig) x 100 : langfristiges Fremdkapital (ohne Spareinlagen)</t>
    </r>
  </si>
  <si>
    <r>
      <t xml:space="preserve">durchschn. Fremdkapitalkostensatz </t>
    </r>
    <r>
      <rPr>
        <sz val="10"/>
        <rFont val="Arial"/>
        <family val="2"/>
      </rPr>
      <t>Fremdkapitalaufwendungen x 100 : Fremdkapital</t>
    </r>
  </si>
  <si>
    <t>K06B</t>
  </si>
  <si>
    <t>Anzahl der durch Miete/Pacht erworbenen Einheiten</t>
  </si>
  <si>
    <t>K06C</t>
  </si>
  <si>
    <t>K06D</t>
  </si>
  <si>
    <t>K06E</t>
  </si>
  <si>
    <t>Z04A</t>
  </si>
  <si>
    <t>K18A</t>
  </si>
  <si>
    <t>K19A</t>
  </si>
  <si>
    <t>K27B</t>
  </si>
  <si>
    <t>K28A</t>
  </si>
  <si>
    <t>Grundsteuern für bebaute Grundstücke</t>
  </si>
  <si>
    <t>Grundsteuern für unbebaute Grundstücke</t>
  </si>
  <si>
    <t>Verbleibende Steuern (Kfz.-Steuern u.a.)</t>
  </si>
  <si>
    <t>BA31</t>
  </si>
  <si>
    <t>BA32</t>
  </si>
  <si>
    <t>BA33</t>
  </si>
  <si>
    <t>BA34</t>
  </si>
  <si>
    <t>XX29</t>
  </si>
  <si>
    <t>XX30</t>
  </si>
  <si>
    <t>XX31</t>
  </si>
  <si>
    <t>XX32</t>
  </si>
  <si>
    <t>XX33</t>
  </si>
  <si>
    <t>XX34</t>
  </si>
  <si>
    <t>XX35</t>
  </si>
  <si>
    <t>BA08</t>
  </si>
  <si>
    <t>sächliche Aufwendungen insgesamt</t>
  </si>
  <si>
    <t>Summe aus BA01 und BA09</t>
  </si>
  <si>
    <t>BA21</t>
  </si>
  <si>
    <t>BA22</t>
  </si>
  <si>
    <t>BA23</t>
  </si>
  <si>
    <t>BA24</t>
  </si>
  <si>
    <t>K10</t>
  </si>
  <si>
    <t>K11</t>
  </si>
  <si>
    <t>K12</t>
  </si>
  <si>
    <t>K13</t>
  </si>
  <si>
    <t>K14</t>
  </si>
  <si>
    <t>K15</t>
  </si>
  <si>
    <t>Umsatzerlöse (Hausbewirtschaftung)</t>
  </si>
  <si>
    <t>Kapitalkosten (Dauerfinanzierungsmittel)</t>
  </si>
  <si>
    <t>K16</t>
  </si>
  <si>
    <t>K17</t>
  </si>
  <si>
    <t>K18</t>
  </si>
  <si>
    <t>K19</t>
  </si>
  <si>
    <t>K20</t>
  </si>
  <si>
    <t>K21</t>
  </si>
  <si>
    <t>K22</t>
  </si>
  <si>
    <t>K23</t>
  </si>
  <si>
    <t>K24</t>
  </si>
  <si>
    <t>K25</t>
  </si>
  <si>
    <t>K26</t>
  </si>
  <si>
    <t>K27</t>
  </si>
  <si>
    <t>K28</t>
  </si>
  <si>
    <t>K29</t>
  </si>
  <si>
    <t>K30</t>
  </si>
  <si>
    <t>K31</t>
  </si>
  <si>
    <t>K32</t>
  </si>
  <si>
    <t>K33</t>
  </si>
  <si>
    <t>K34</t>
  </si>
  <si>
    <t>K35</t>
  </si>
  <si>
    <t>K36</t>
  </si>
  <si>
    <t>K37</t>
  </si>
  <si>
    <t>K38</t>
  </si>
  <si>
    <t>K39</t>
  </si>
  <si>
    <t>K40</t>
  </si>
  <si>
    <t>K41</t>
  </si>
  <si>
    <t>K42</t>
  </si>
  <si>
    <t>K43</t>
  </si>
  <si>
    <t>K44</t>
  </si>
  <si>
    <t>K45</t>
  </si>
  <si>
    <t>K46</t>
  </si>
  <si>
    <t>K47</t>
  </si>
  <si>
    <t>K48</t>
  </si>
  <si>
    <t>K49</t>
  </si>
  <si>
    <t>K50</t>
  </si>
  <si>
    <t>K51</t>
  </si>
  <si>
    <t>Z10</t>
  </si>
  <si>
    <t>Z11</t>
  </si>
  <si>
    <t>Z12</t>
  </si>
  <si>
    <t>Z13</t>
  </si>
  <si>
    <t>Z14</t>
  </si>
  <si>
    <t>Z15</t>
  </si>
  <si>
    <t>Z16</t>
  </si>
  <si>
    <t>Z17</t>
  </si>
  <si>
    <t>Z18</t>
  </si>
  <si>
    <t>Z19</t>
  </si>
  <si>
    <t>Z20</t>
  </si>
  <si>
    <t>Z21</t>
  </si>
  <si>
    <t>Z22</t>
  </si>
  <si>
    <t>Z23</t>
  </si>
  <si>
    <t>Z24</t>
  </si>
  <si>
    <t>Z25</t>
  </si>
  <si>
    <t>Z26</t>
  </si>
  <si>
    <t>Tel.:</t>
  </si>
  <si>
    <t>1. Angaben zur Klassifizierung des Unternehmens</t>
  </si>
  <si>
    <t>1.1 Rechtsform</t>
  </si>
  <si>
    <t>Ziffer 2 = Unternehmen der Privatwirtschaft</t>
  </si>
  <si>
    <t>Ziffer 3 = Genossenschaften</t>
  </si>
  <si>
    <t>1.3</t>
  </si>
  <si>
    <t>1.4</t>
  </si>
  <si>
    <t>Ziffer 1 = ja, nur Instandhaltung</t>
  </si>
  <si>
    <t>Ziffer 2 = ja, Instandhaltung, Neubau und Modernisierung</t>
  </si>
  <si>
    <t>Ziffer 3 = nein</t>
  </si>
  <si>
    <t>Ziffer 1 = ja</t>
  </si>
  <si>
    <t>Ziffer 2 = nein</t>
  </si>
  <si>
    <t>Ziffer 1 = nein</t>
  </si>
  <si>
    <t>Ziffer 3 = ja, nur zum Verkauf bestimmte Maßnahmen</t>
  </si>
  <si>
    <t>Ziffer 2 = ja, nur finanziell</t>
  </si>
  <si>
    <t>Ziffer 3 = ja, nur technisch</t>
  </si>
  <si>
    <t>Ziffer 4 = ja, finanziell und technisch</t>
  </si>
  <si>
    <t>1.8</t>
  </si>
  <si>
    <t>Ziffer 1 = nur hauptberuflich</t>
  </si>
  <si>
    <t>Ziffer 2 = nur nebenberuflich</t>
  </si>
  <si>
    <t>Ziffer 3 = haupt- und nebenberuflich</t>
  </si>
  <si>
    <t>Ziffer 4 = Geschäftsbesorgung durch Dritte (kein eigenes Personal bzw. nur</t>
  </si>
  <si>
    <t>Ziffer 5 = Geschäftsbesorgung durch Dritte und eigenes hauptberufliches Personal</t>
  </si>
  <si>
    <t>Anzahl</t>
  </si>
  <si>
    <t>(Stand 1.1. des Geschäftsjahres)</t>
  </si>
  <si>
    <t>(Stand 31.12. des Geschäftsjahres)</t>
  </si>
  <si>
    <t>kumulierte Abschreibungen auf Sachanlagen</t>
  </si>
  <si>
    <t>(Grund- bzw. Stammkapital, Geschäftsguthaben)</t>
  </si>
  <si>
    <t>zum 1.1. des Geschäftsjahres</t>
  </si>
  <si>
    <t>Von XX20 sind:</t>
  </si>
  <si>
    <t>Abschreibungen auf Sachanlagen, die der Hausbewirtschaftung zuzuordnen sind</t>
  </si>
  <si>
    <t>Außerplanmäßige Abschreibung</t>
  </si>
  <si>
    <t>aus der Übertragung von SoPo (§ 6b EStG)</t>
  </si>
  <si>
    <t xml:space="preserve">   Zusätzliche Entlastung nach § 6a AHG</t>
  </si>
  <si>
    <t>SE11</t>
  </si>
  <si>
    <t xml:space="preserve">   Zuschüsse aus dem Stadtumbau</t>
  </si>
  <si>
    <t>SE12</t>
  </si>
  <si>
    <t>Z19A</t>
  </si>
  <si>
    <t>SA11</t>
  </si>
  <si>
    <t>Aufwendungen für Stadtumbaumaßnahmen</t>
  </si>
  <si>
    <t>Z19B</t>
  </si>
  <si>
    <t>zum 31.12. des Geschäftsjahres</t>
  </si>
  <si>
    <t xml:space="preserve">      gepachtete und verwaltete Einheiten insgesamt) zum jeweiligen Jahresende</t>
  </si>
  <si>
    <t>Ziffer 4 = ja, eigene und zum Verkauf bestimmte Maßnahmen</t>
  </si>
  <si>
    <t>Zuführungen zum Sonderposten</t>
  </si>
  <si>
    <t>mit Rücklageanteil im Geschäftsjahr</t>
  </si>
  <si>
    <t>im Geschäftsjahr</t>
  </si>
  <si>
    <t>Dauerfinanzierungsmittel des Anlagevermögens</t>
  </si>
  <si>
    <t>Ausweis lt. GuV</t>
  </si>
  <si>
    <t>Zusammensetzung:</t>
  </si>
  <si>
    <t>insgesamt</t>
  </si>
  <si>
    <t>Verkaufstätigkeit</t>
  </si>
  <si>
    <t>Sonstige Aufwendungen (Kosten für Miet- u. Rgsklagen u.a.)</t>
  </si>
  <si>
    <t xml:space="preserve">- laufende und modernisierende Instandhaltung </t>
  </si>
  <si>
    <t>Aufwendungen für Rentner oder Pensionäre (ohne ehe-</t>
  </si>
  <si>
    <t>steuerliche Mehrabschreibung</t>
  </si>
  <si>
    <t>Jahresüberschuss(+)  (Ausweis lt. GuV)</t>
  </si>
  <si>
    <t>Jahresfehlbetrag(-)  (Ausweis lt. GuV)</t>
  </si>
  <si>
    <t>Erstattungen persönlicher Kosten</t>
  </si>
  <si>
    <t>betriebliche Aufwendungen" der GuV enthalten sind</t>
  </si>
  <si>
    <t>Betriebs-, Instandhaltungs- und Kapitalkosten sowie</t>
  </si>
  <si>
    <t>Grundsteuer für Verwaltungs- und Regiegebäude</t>
  </si>
  <si>
    <r>
      <t>davon</t>
    </r>
    <r>
      <rPr>
        <sz val="10"/>
        <rFont val="Arial"/>
        <family val="2"/>
      </rPr>
      <t xml:space="preserve"> entfallen auf Regiebetrieb/Hausmeister</t>
    </r>
  </si>
  <si>
    <t>MW10</t>
  </si>
  <si>
    <t>LW10</t>
  </si>
  <si>
    <t>LW05</t>
  </si>
  <si>
    <t>Langfristiges Fremdkapital (Dauerfinanzierungsmittel)</t>
  </si>
  <si>
    <t>(Netto-) Investitionen in Sachanlagen</t>
  </si>
  <si>
    <t>Abschreibungen auf Sachanlagen (einschließlich a.o. Abschreibungen)</t>
  </si>
  <si>
    <t>Tilgungen (planmäßig)</t>
  </si>
  <si>
    <t>Fertiggestellte Vermietungseinheiten</t>
  </si>
  <si>
    <t>Teil I: Kennzahlen für alle teilnehmenden Unternehmen</t>
  </si>
  <si>
    <t>Teil II: Zusatzauswertung (Kennzahlen zur Hausbewirtschaftung und zum Personal- und Sachaufwand)</t>
  </si>
  <si>
    <t xml:space="preserve"> </t>
  </si>
  <si>
    <t>Rechtsform</t>
  </si>
  <si>
    <t>Anz. Einheiten</t>
  </si>
  <si>
    <t>Eig. Regiebetr.</t>
  </si>
  <si>
    <t>Bautätigkeit</t>
  </si>
  <si>
    <t>Personal</t>
  </si>
  <si>
    <t>Verband</t>
  </si>
  <si>
    <t>NAME</t>
  </si>
  <si>
    <t>ABDT</t>
  </si>
  <si>
    <t>BEAU</t>
  </si>
  <si>
    <t>BEAV</t>
  </si>
  <si>
    <t>TBAU</t>
  </si>
  <si>
    <t>TBAV</t>
  </si>
  <si>
    <t>REFO</t>
  </si>
  <si>
    <t>EINH</t>
  </si>
  <si>
    <t>AUSD</t>
  </si>
  <si>
    <t>TEAB</t>
  </si>
  <si>
    <t>REGI</t>
  </si>
  <si>
    <t>BAUT</t>
  </si>
  <si>
    <t>BAUB</t>
  </si>
  <si>
    <t>PERS</t>
  </si>
  <si>
    <t>VERB</t>
  </si>
  <si>
    <t>Bearbeiter</t>
  </si>
  <si>
    <t>Kontrolle des Ausfüllens</t>
  </si>
  <si>
    <t>(Bitte zutreffende Ziffer in das entsprechende Feld eintragen.)</t>
  </si>
  <si>
    <r>
      <t xml:space="preserve">Gebäudebuchwerte Wohn- </t>
    </r>
    <r>
      <rPr>
        <u/>
        <sz val="10"/>
        <rFont val="Arial"/>
        <family val="2"/>
      </rPr>
      <t>und</t>
    </r>
    <r>
      <rPr>
        <sz val="10"/>
        <rFont val="Arial"/>
        <family val="2"/>
      </rPr>
      <t xml:space="preserve"> Geschäftsbauten</t>
    </r>
  </si>
  <si>
    <r>
      <t xml:space="preserve">Grundstücksbuchwerte Wohn- </t>
    </r>
    <r>
      <rPr>
        <u/>
        <sz val="10"/>
        <rFont val="Arial"/>
        <family val="2"/>
      </rPr>
      <t>und</t>
    </r>
    <r>
      <rPr>
        <sz val="10"/>
        <rFont val="Arial"/>
      </rPr>
      <t xml:space="preserve"> Geschäftsbauten</t>
    </r>
  </si>
  <si>
    <t>Im Anhang gemäß § 281 Abs. 2 HGB anzugebende</t>
  </si>
  <si>
    <t>Jahre</t>
  </si>
  <si>
    <t>Prüfung angegebener Daten</t>
  </si>
  <si>
    <t>Teiln. an Teil</t>
  </si>
  <si>
    <t>Diese Kennzahlen werden nur ausgewiesen, wenn im Erfassungsbogen die Daten in den mit (x) gekennzeichneten Feldern ausgefüllt sind.</t>
  </si>
  <si>
    <t>- Betriebskosten ohne Heizkosten (z.B. für Gartenpflege)</t>
  </si>
  <si>
    <t>- Heizkosten (z.B. für Heizwarte)</t>
  </si>
  <si>
    <t>TEIL</t>
  </si>
  <si>
    <r>
      <t xml:space="preserve">Heizkosten </t>
    </r>
    <r>
      <rPr>
        <sz val="8"/>
        <color indexed="10"/>
        <rFont val="Arial"/>
        <family val="2"/>
      </rPr>
      <t/>
    </r>
  </si>
  <si>
    <r>
      <t xml:space="preserve">Instandhaltungskosten </t>
    </r>
    <r>
      <rPr>
        <sz val="8"/>
        <color indexed="10"/>
        <rFont val="Arial"/>
        <family val="2"/>
      </rPr>
      <t/>
    </r>
  </si>
  <si>
    <t>UE08</t>
  </si>
  <si>
    <t>Sonstige Pachtaufwendungen (Pachtzins u.a)</t>
  </si>
  <si>
    <t>LR09</t>
  </si>
  <si>
    <t>ZE10</t>
  </si>
  <si>
    <t>Passive Rechnungsabgrenzungsposten</t>
  </si>
  <si>
    <t>RA02</t>
  </si>
  <si>
    <r>
      <t xml:space="preserve">für </t>
    </r>
    <r>
      <rPr>
        <b/>
        <u/>
        <sz val="10"/>
        <rFont val="Arial"/>
        <family val="2"/>
      </rPr>
      <t>eigene</t>
    </r>
    <r>
      <rPr>
        <b/>
        <sz val="10"/>
        <rFont val="Arial"/>
        <family val="2"/>
      </rPr>
      <t xml:space="preserve"> Einheiten</t>
    </r>
  </si>
  <si>
    <r>
      <t>EBITDA</t>
    </r>
    <r>
      <rPr>
        <sz val="10"/>
        <rFont val="Arial"/>
        <family val="2"/>
      </rPr>
      <t xml:space="preserve">
Ergebnis vor Steuern, Zinsen und Abschreibung</t>
    </r>
  </si>
  <si>
    <r>
      <t xml:space="preserve">schäftsjahres im </t>
    </r>
    <r>
      <rPr>
        <u/>
        <sz val="10"/>
        <rFont val="Arial"/>
        <family val="2"/>
      </rPr>
      <t xml:space="preserve">eigenen </t>
    </r>
    <r>
      <rPr>
        <sz val="10"/>
        <rFont val="Arial"/>
        <family val="2"/>
      </rPr>
      <t>Bestand</t>
    </r>
  </si>
  <si>
    <t>Stilllegung</t>
  </si>
  <si>
    <t>Nachrichtliche Angabe von Einzelpositionen innerhalb des Umlaufvermögens</t>
  </si>
  <si>
    <r>
      <t>von UE01:</t>
    </r>
    <r>
      <rPr>
        <sz val="10"/>
        <rFont val="Arial"/>
        <family val="2"/>
      </rPr>
      <t xml:space="preserve"> Sollmiete für reine Wohnzwecke - vor Abzug der Erlösschmälerungen</t>
    </r>
  </si>
  <si>
    <t xml:space="preserve">Abschreibungen und Wertberichtigungen auf Forderungen aus Vermietung </t>
  </si>
  <si>
    <r>
      <t xml:space="preserve">finanzw. Gesamtkapitalrentabilität 
</t>
    </r>
    <r>
      <rPr>
        <sz val="10"/>
        <rFont val="Arial"/>
        <family val="2"/>
      </rPr>
      <t>(Cash-Flow + Fremdkapitalzinsen) x 100 :  Gesamtkapital</t>
    </r>
  </si>
  <si>
    <t>K02A</t>
  </si>
  <si>
    <t>1.3 Bilanzierungsform</t>
  </si>
  <si>
    <t>Ziffer 2 = Bilanzierung nach IFRS</t>
  </si>
  <si>
    <t>Ziffer 1 = Bilanzierung nach HGB</t>
  </si>
  <si>
    <t>BILF</t>
  </si>
  <si>
    <t>1.4 Tätigkeitsgebiet</t>
  </si>
  <si>
    <t>1.5 Eigener Regiebetrieb</t>
  </si>
  <si>
    <t>1.6 Bautätigkeit im Berichtsjahr</t>
  </si>
  <si>
    <t>1.7 Personal (einschl. Geschäftsführer bzw. Vorstand)</t>
  </si>
  <si>
    <t>1.8.1 Verbandszugehörigkeit</t>
  </si>
  <si>
    <t>1.8.2 Regionszugehörigkeit</t>
  </si>
  <si>
    <t>1.8.3 Bundeslandzugehörigkeit</t>
  </si>
  <si>
    <t>Bilanzierungsform</t>
  </si>
  <si>
    <t>K23A</t>
  </si>
  <si>
    <t>K01A</t>
  </si>
  <si>
    <t>Wirtschaftliches Gesamtkapital - pauschaliert</t>
  </si>
  <si>
    <r>
      <t xml:space="preserve">Wirtschaftliche Eigenkapitalqoute - pauschaliert
</t>
    </r>
    <r>
      <rPr>
        <sz val="10"/>
        <rFont val="Arial"/>
        <family val="2"/>
      </rPr>
      <t>Wirtschaftliches Eigenkapital - pauschaliert x 100 : Wirtschaftliches Gesamtkapital - pauschaliert</t>
    </r>
  </si>
  <si>
    <t>Unternehmensnr.</t>
  </si>
  <si>
    <r>
      <t>finanzw. Eigenkapitalrentabilität (durchschnittliches EK)</t>
    </r>
    <r>
      <rPr>
        <sz val="10"/>
        <rFont val="Arial"/>
        <family val="2"/>
      </rPr>
      <t xml:space="preserve"> Cash-Flow x 100 : durchschnittliches Eigenkapital</t>
    </r>
  </si>
  <si>
    <t>Teil I - Seite 2</t>
  </si>
  <si>
    <t>Teil I - Seite 3</t>
  </si>
  <si>
    <t>Teil I - Seite 4</t>
  </si>
  <si>
    <t>Teil I - Seite 5</t>
  </si>
  <si>
    <t>Teil I - Seite 6</t>
  </si>
  <si>
    <t>Teil I - Seite 7</t>
  </si>
  <si>
    <t>Teil I - Seite 8</t>
  </si>
  <si>
    <t>Teil I - Seite 9</t>
  </si>
  <si>
    <t>Verkaufsergebnis</t>
  </si>
  <si>
    <t>K01</t>
  </si>
  <si>
    <t>K02</t>
  </si>
  <si>
    <t>K03</t>
  </si>
  <si>
    <t>K04</t>
  </si>
  <si>
    <t>K05</t>
  </si>
  <si>
    <t>K05A</t>
  </si>
  <si>
    <t>K05D</t>
  </si>
  <si>
    <t>K06</t>
  </si>
  <si>
    <t>K06A</t>
  </si>
  <si>
    <t>K07</t>
  </si>
  <si>
    <t>K08</t>
  </si>
  <si>
    <t>K08A</t>
  </si>
  <si>
    <t>K08B</t>
  </si>
  <si>
    <t>K08C</t>
  </si>
  <si>
    <t>K08D</t>
  </si>
  <si>
    <t>K09</t>
  </si>
  <si>
    <t>1.</t>
  </si>
  <si>
    <r>
      <t>Jahr des Abschlusses</t>
    </r>
    <r>
      <rPr>
        <sz val="10"/>
        <rFont val="Arial"/>
        <family val="2"/>
      </rPr>
      <t xml:space="preserve"> (JAHR)</t>
    </r>
  </si>
  <si>
    <r>
      <t>Unternehmensnummer</t>
    </r>
    <r>
      <rPr>
        <sz val="10"/>
        <rFont val="Arial"/>
        <family val="2"/>
      </rPr>
      <t xml:space="preserve"> (UKZ)</t>
    </r>
  </si>
  <si>
    <r>
      <t>Unternehmen</t>
    </r>
    <r>
      <rPr>
        <sz val="10"/>
        <rFont val="Arial"/>
        <family val="2"/>
      </rPr>
      <t xml:space="preserve"> (NAME)</t>
    </r>
  </si>
  <si>
    <t>Lang- und mittelfristig 
Restlaufzeit &gt; 1 Jahr</t>
  </si>
  <si>
    <r>
      <t>von UE20</t>
    </r>
    <r>
      <rPr>
        <sz val="10"/>
        <rFont val="Arial"/>
      </rPr>
      <t>: Erlöse aus dem Verkauf von Grundstücken aus dem</t>
    </r>
  </si>
  <si>
    <t>Erlösschmälerungen auf Verkäufe von UV</t>
  </si>
  <si>
    <t>7. Angaben zu den Aufwendungen und zum Jahresüberschuss bzw. -fehlbetrag</t>
  </si>
  <si>
    <t>Kennzahlen zum Bestand und zur Bestandsstruktur</t>
  </si>
  <si>
    <t>Kennziffer</t>
  </si>
  <si>
    <t>Formelzusammensetzung</t>
  </si>
  <si>
    <t>Anzahl bewirtschaftete Einheiten</t>
  </si>
  <si>
    <t>VE</t>
  </si>
  <si>
    <t xml:space="preserve">Sollmiete </t>
  </si>
  <si>
    <t>€/m²/Monat</t>
  </si>
  <si>
    <t xml:space="preserve">Mietsubvention </t>
  </si>
  <si>
    <t>Leerstand Gesamt</t>
  </si>
  <si>
    <t>Vertriebsbedingter Leerstand</t>
  </si>
  <si>
    <t>€/m²</t>
  </si>
  <si>
    <t>Mittel- und langfristige Verschuldung 
zu Nutzfläche</t>
  </si>
  <si>
    <t>Verkaufstätigkeit (Einzelprivatisierung)</t>
  </si>
  <si>
    <t>Verkaufstätigkeit (Paketverkäufe)</t>
  </si>
  <si>
    <t>2.</t>
  </si>
  <si>
    <t>Kennzahlen zur Vermögens- und Kapitalstruktur</t>
  </si>
  <si>
    <t>Mio. €</t>
  </si>
  <si>
    <t>Eigenkapitalquote (betriebswirtschaftlich)</t>
  </si>
  <si>
    <t>Anlagendeckungsgrad</t>
  </si>
  <si>
    <t>Anlagenabnutzungsgrad</t>
  </si>
  <si>
    <t>3.</t>
  </si>
  <si>
    <t>Kennzahlen zur Ergebnis- und Cash Flow- Struktur</t>
  </si>
  <si>
    <t>Umsatzerlöse aus der
Hausbewirtschaftung</t>
  </si>
  <si>
    <t>Sollmieten (ohne Betriebskosten)</t>
  </si>
  <si>
    <t>EBITDA</t>
  </si>
  <si>
    <t>Interest Coverage
(Zinsdeckung)</t>
  </si>
  <si>
    <t>EBT</t>
  </si>
  <si>
    <t>EAT</t>
  </si>
  <si>
    <t>4.</t>
  </si>
  <si>
    <t>Rentabilitäts- und Cash Flow- Kennziffern</t>
  </si>
  <si>
    <t>Gesamtkapitalrendite</t>
  </si>
  <si>
    <t>Eigenkapitalrendite (betriebsw.)</t>
  </si>
  <si>
    <t>Effektivverschuldung zu Cash Flow
(dynamischer Verschuldungsgrad)</t>
  </si>
  <si>
    <t>5.</t>
  </si>
  <si>
    <t>Kennziffern zur Investitionstätigkeit</t>
  </si>
  <si>
    <t>Nettoinvestitionen SAV</t>
  </si>
  <si>
    <t>Modernisierungskosten 
Wohnbauten (Aktivierung)</t>
  </si>
  <si>
    <t>Reinvestitionsquote</t>
  </si>
  <si>
    <r>
      <t xml:space="preserve">Finanzwirtschaftliche EK- Rendite
</t>
    </r>
    <r>
      <rPr>
        <sz val="6"/>
        <rFont val="Arial"/>
        <family val="2"/>
      </rPr>
      <t>(Cash Flow Return On Equity CFROE)</t>
    </r>
  </si>
  <si>
    <r>
      <t xml:space="preserve">Finanzwirtschaftliche GK- Rendite 
</t>
    </r>
    <r>
      <rPr>
        <sz val="6"/>
        <rFont val="Arial"/>
        <family val="2"/>
      </rPr>
      <t>(Cash Flow Return On Capital Employed CFROCE)</t>
    </r>
  </si>
  <si>
    <t xml:space="preserve">Zusatzangaben für die AGW zur Darstellung des </t>
  </si>
  <si>
    <t>Management-Summaries</t>
  </si>
  <si>
    <t>Summe</t>
  </si>
  <si>
    <t>Instandhaltungskosten der eigenen Einheiten</t>
  </si>
  <si>
    <t>K14C</t>
  </si>
  <si>
    <t>Cash-Flow vereinfacht</t>
  </si>
  <si>
    <t>Tsd. Euro</t>
  </si>
  <si>
    <t>verschoben nach Seite "Teil AGW"</t>
  </si>
  <si>
    <t>Z02</t>
  </si>
  <si>
    <t>Z03</t>
  </si>
  <si>
    <t>Z04</t>
  </si>
  <si>
    <t>Z05</t>
  </si>
  <si>
    <t>Z06</t>
  </si>
  <si>
    <t>Z07</t>
  </si>
  <si>
    <t>Z08</t>
  </si>
  <si>
    <t>Z09</t>
  </si>
  <si>
    <t>MS01</t>
  </si>
  <si>
    <t>T€</t>
  </si>
  <si>
    <t xml:space="preserve"> - Ertrag bzw. Aufwand aus Ergebnisabführung</t>
  </si>
  <si>
    <t>I.9_GW20</t>
  </si>
  <si>
    <t xml:space="preserve">   (i. d. R. nur bei Konzernverbund)</t>
  </si>
  <si>
    <t xml:space="preserve"> + Sonstige Steuern</t>
  </si>
  <si>
    <t>I.9_XX28</t>
  </si>
  <si>
    <t xml:space="preserve">    ./. Grundsteuern für den eig. Bestand</t>
  </si>
  <si>
    <t>I.9_GR10</t>
  </si>
  <si>
    <t xml:space="preserve">    ./. für durch Miete/Pacht verschaffte Einh.</t>
  </si>
  <si>
    <t>I.9_XX50</t>
  </si>
  <si>
    <t xml:space="preserve"> Hinzurechnung der sonst Steuern (ohne GrSt)</t>
  </si>
  <si>
    <t xml:space="preserve"> + Steuern vom Einkommen und Ertrag (lt. GuV)</t>
  </si>
  <si>
    <t xml:space="preserve"> + Aufwendungen aus Verlustübernahmen (lt. GuV)</t>
  </si>
  <si>
    <t>I.9_AA03</t>
  </si>
  <si>
    <t xml:space="preserve"> + Außerordentliche Aufwendungen (lt. GuV)</t>
  </si>
  <si>
    <t xml:space="preserve"> - Außerordentliche Erträge</t>
  </si>
  <si>
    <t xml:space="preserve"> + Zinsen und ähnliche Aufwendungen</t>
  </si>
  <si>
    <t xml:space="preserve"> - Sonstige Zinsen und ähnliche Erträge</t>
  </si>
  <si>
    <t xml:space="preserve"> - Zuschreibungen zum Anlagevermögen</t>
  </si>
  <si>
    <t>I.7_SE02</t>
  </si>
  <si>
    <t xml:space="preserve"> - Ertr. aus and. Wertp. u. Ausleih. d. Finanzanl.verm.</t>
  </si>
  <si>
    <t xml:space="preserve"> + AfA auf imm. VG d. AV u. Sachanlagen</t>
  </si>
  <si>
    <t xml:space="preserve">    ./. aus d. Übertragung v. SoPo(§ 6b EStG)</t>
  </si>
  <si>
    <t>I.8_AS05</t>
  </si>
  <si>
    <t xml:space="preserve"> + AfA auf auf UV, soweit über dem Üblichen</t>
  </si>
  <si>
    <t>I.8_AS04</t>
  </si>
  <si>
    <t xml:space="preserve"> + Abschreibungen auf Finanzanlagen (lt. GuV)</t>
  </si>
  <si>
    <t>Kennzahl aus \Kennzahlen/</t>
  </si>
  <si>
    <t>Kennz_K06A</t>
  </si>
  <si>
    <t xml:space="preserve"> wenn Differenz -&gt; ?</t>
  </si>
  <si>
    <t xml:space="preserve"> + Instandhaltungskosten</t>
  </si>
  <si>
    <t>I.8_IK01</t>
  </si>
  <si>
    <t xml:space="preserve"> + Inst.K. der durch Miete/Pacht erworb. Einh.</t>
  </si>
  <si>
    <t>AGW_XX45</t>
  </si>
  <si>
    <t xml:space="preserve"> -  Erst. von Inst.kosten (Vers. u.ä) - eigene Einheiten -</t>
  </si>
  <si>
    <t>I.7_SE03</t>
  </si>
  <si>
    <t>Kennz_K06C</t>
  </si>
  <si>
    <t>I.2_EN10</t>
  </si>
  <si>
    <t>I.2_EN12</t>
  </si>
  <si>
    <t>EBITDA  vor Instandhaltung / m²</t>
  </si>
  <si>
    <t>Kennz_K06E</t>
  </si>
  <si>
    <t>EBITDA  (nach Instandhaltung / m²)</t>
  </si>
  <si>
    <t xml:space="preserve"> + Abschreibungen auf Geldbeschaffungskosten</t>
  </si>
  <si>
    <t>I.9_ZA02</t>
  </si>
  <si>
    <t xml:space="preserve"> + Sonderposten mit Rücklageanteil</t>
  </si>
  <si>
    <t xml:space="preserve">         Wert per 31.12.</t>
  </si>
  <si>
    <t xml:space="preserve">     ./. Wert per 01.01</t>
  </si>
  <si>
    <t>I.4_SP09</t>
  </si>
  <si>
    <t xml:space="preserve"> + Rückstellungen mit einer Rlz &gt; 1 Jahr</t>
  </si>
  <si>
    <t>I.4_LR09</t>
  </si>
  <si>
    <t>I.4_LR09A</t>
  </si>
  <si>
    <t xml:space="preserve"> - Sonstige wesentliche zahlungsunwirksame Erträge</t>
  </si>
  <si>
    <t>I.7_ZE10</t>
  </si>
  <si>
    <t>Sonstige wes. zahlungsunwirksame Aufwendungen</t>
  </si>
  <si>
    <t>I.7_ZW10</t>
  </si>
  <si>
    <t>Kennz_K14</t>
  </si>
  <si>
    <t xml:space="preserve"> ./. Investitionszulage auf Herstellungskosten</t>
  </si>
  <si>
    <t>I.7_SE08</t>
  </si>
  <si>
    <t xml:space="preserve">   </t>
  </si>
  <si>
    <t>Kennz_K14A</t>
  </si>
  <si>
    <t xml:space="preserve">  + Instandhaltungskosten </t>
  </si>
  <si>
    <t>Kennz_K14B</t>
  </si>
  <si>
    <t>Kennz_K14C</t>
  </si>
  <si>
    <r>
      <t xml:space="preserve">     + </t>
    </r>
    <r>
      <rPr>
        <sz val="8"/>
        <rFont val="Arial"/>
        <family val="2"/>
      </rPr>
      <t>Veränd., die das Erg. nicht beeinflusst haben</t>
    </r>
  </si>
  <si>
    <t>Anzahl der Werte außerhalb des Erwartungsbereichs</t>
  </si>
  <si>
    <t>Blatt</t>
  </si>
  <si>
    <t>I. 5</t>
  </si>
  <si>
    <t>I. 4</t>
  </si>
  <si>
    <t>I. 3</t>
  </si>
  <si>
    <t>I. 8</t>
  </si>
  <si>
    <t>I. 9</t>
  </si>
  <si>
    <t>I. 2; I. 9</t>
  </si>
  <si>
    <t>I. 6</t>
  </si>
  <si>
    <t>I. 7</t>
  </si>
  <si>
    <t>I. 2</t>
  </si>
  <si>
    <t>I.3 u. I.5</t>
  </si>
  <si>
    <t>I.3 u. I.8</t>
  </si>
  <si>
    <t>I.4 u. I.5</t>
  </si>
  <si>
    <t>I.3 .4 u. .5</t>
  </si>
  <si>
    <t>I.3. u. I.5</t>
  </si>
  <si>
    <t>I.4 u. I.9</t>
  </si>
  <si>
    <t>I.5 u. I.9</t>
  </si>
  <si>
    <t>I.4 u. CF</t>
  </si>
  <si>
    <t>I.5 .9 u. CF</t>
  </si>
  <si>
    <t>I.5 u. CF</t>
  </si>
  <si>
    <t>I.6 u. CF</t>
  </si>
  <si>
    <t>I.5 u. I.6</t>
  </si>
  <si>
    <t>Abw. v. Min/Max:</t>
  </si>
  <si>
    <t>MS02</t>
  </si>
  <si>
    <t>MS03</t>
  </si>
  <si>
    <t>MS04</t>
  </si>
  <si>
    <t>MS05</t>
  </si>
  <si>
    <t>MS06</t>
  </si>
  <si>
    <t>MS08</t>
  </si>
  <si>
    <t>MS09</t>
  </si>
  <si>
    <t>MS10</t>
  </si>
  <si>
    <t>MS11</t>
  </si>
  <si>
    <t>MS12</t>
  </si>
  <si>
    <t>MS13</t>
  </si>
  <si>
    <t>MS14</t>
  </si>
  <si>
    <t>MS15</t>
  </si>
  <si>
    <t>MS16</t>
  </si>
  <si>
    <t>MS17</t>
  </si>
  <si>
    <t>MS18</t>
  </si>
  <si>
    <t>MS19</t>
  </si>
  <si>
    <t>MS20</t>
  </si>
  <si>
    <t>MS21</t>
  </si>
  <si>
    <t>MS22</t>
  </si>
  <si>
    <t>MS23</t>
  </si>
  <si>
    <t>MS24</t>
  </si>
  <si>
    <t>MS25</t>
  </si>
  <si>
    <t>MS26</t>
  </si>
  <si>
    <t>MS28</t>
  </si>
  <si>
    <t>MS29</t>
  </si>
  <si>
    <t>MS30</t>
  </si>
  <si>
    <t>MS31</t>
  </si>
  <si>
    <t>MS32</t>
  </si>
  <si>
    <t>MS33</t>
  </si>
  <si>
    <t xml:space="preserve">   Erträge aus dem Abgang von Gegenständen des AV</t>
  </si>
  <si>
    <t xml:space="preserve">   Aufwendungen aus dem Verkauf von Gegenständen des AV</t>
  </si>
  <si>
    <t xml:space="preserve">   Bestandsverminderungen bei Verkaufstätigkeit UV</t>
  </si>
  <si>
    <t>IK10</t>
  </si>
  <si>
    <t>Einzelprivatisierung</t>
  </si>
  <si>
    <t>Paketverkäufe</t>
  </si>
  <si>
    <t>VERK01</t>
  </si>
  <si>
    <t>VERK02</t>
  </si>
  <si>
    <t>VERK03</t>
  </si>
  <si>
    <t>VERK04</t>
  </si>
  <si>
    <t>K23M</t>
  </si>
  <si>
    <r>
      <t>Eigenmittelquote 
(</t>
    </r>
    <r>
      <rPr>
        <sz val="10"/>
        <rFont val="Arial"/>
        <family val="2"/>
      </rPr>
      <t>Eigenkapital+Rückstellungen für Bauinstandhaltung) x 100 : Gesamtkapital (=Bilanzsumme)</t>
    </r>
  </si>
  <si>
    <t>RBAU</t>
  </si>
  <si>
    <t>K27M</t>
  </si>
  <si>
    <t>ZW10</t>
  </si>
  <si>
    <t>XX40</t>
  </si>
  <si>
    <t>XX41</t>
  </si>
  <si>
    <t>XX43</t>
  </si>
  <si>
    <t>XX44</t>
  </si>
  <si>
    <t>XX45</t>
  </si>
  <si>
    <t>XX46</t>
  </si>
  <si>
    <t>EE04</t>
  </si>
  <si>
    <t>VE04</t>
  </si>
  <si>
    <t>XX47</t>
  </si>
  <si>
    <t>XX48</t>
  </si>
  <si>
    <t>XX49</t>
  </si>
  <si>
    <t>XX50</t>
  </si>
  <si>
    <t>WAEH</t>
  </si>
  <si>
    <t>8.1.2 Gemäß der Betriebsabrechnung (BAB) zuzuordnender eigener Personal-</t>
  </si>
  <si>
    <r>
      <t xml:space="preserve">        </t>
    </r>
    <r>
      <rPr>
        <u/>
        <sz val="10"/>
        <rFont val="Arial"/>
        <family val="2"/>
      </rPr>
      <t>und Sachaufwand und eigener Regiebetriebsaufwand</t>
    </r>
  </si>
  <si>
    <t>Sonstige wesentliche zahlungsunwirksame Erträge</t>
  </si>
  <si>
    <t>Betriebs- und Heizkosten</t>
  </si>
  <si>
    <r>
      <t xml:space="preserve">     </t>
    </r>
    <r>
      <rPr>
        <b/>
        <u/>
        <sz val="10"/>
        <rFont val="Arial"/>
        <family val="2"/>
      </rPr>
      <t>die üblichen Abschreibungen überschreiten (lt. GuV)</t>
    </r>
  </si>
  <si>
    <r>
      <t xml:space="preserve">7.7 </t>
    </r>
    <r>
      <rPr>
        <b/>
        <u/>
        <sz val="10"/>
        <rFont val="Arial"/>
        <family val="2"/>
      </rPr>
      <t>Abschreibungen auf Finanzanlagen (lt. GuV)</t>
    </r>
  </si>
  <si>
    <r>
      <t xml:space="preserve">7.10 </t>
    </r>
    <r>
      <rPr>
        <b/>
        <u/>
        <sz val="10"/>
        <rFont val="Arial"/>
        <family val="2"/>
      </rPr>
      <t>Aufwendungen aus Verlustübernahmen (lt. GuV)</t>
    </r>
  </si>
  <si>
    <r>
      <t xml:space="preserve">7.11 </t>
    </r>
    <r>
      <rPr>
        <b/>
        <u/>
        <sz val="10"/>
        <rFont val="Arial"/>
        <family val="2"/>
      </rPr>
      <t>Außerordentliche Aufwendungen (lt. GuV)</t>
    </r>
  </si>
  <si>
    <r>
      <t xml:space="preserve">7.12 </t>
    </r>
    <r>
      <rPr>
        <b/>
        <u/>
        <sz val="10"/>
        <rFont val="Arial"/>
        <family val="2"/>
      </rPr>
      <t>Steuern vom Einkommen und Ertrag (lt. GuV)</t>
    </r>
  </si>
  <si>
    <t>Angabe nur dann, wenn die Werte in Ihrer Gesamtheit wesentlich sind!</t>
  </si>
  <si>
    <r>
      <t xml:space="preserve">Angabe nur dann, wenn die Werte </t>
    </r>
    <r>
      <rPr>
        <b/>
        <u/>
        <sz val="10"/>
        <color indexed="10"/>
        <rFont val="Arial"/>
        <family val="2"/>
      </rPr>
      <t xml:space="preserve">in Ihrer Gesamtheit </t>
    </r>
    <r>
      <rPr>
        <b/>
        <sz val="10"/>
        <color indexed="10"/>
        <rFont val="Arial"/>
        <family val="2"/>
      </rPr>
      <t>wesentlich sind!</t>
    </r>
  </si>
  <si>
    <t>AV17</t>
  </si>
  <si>
    <r>
      <t xml:space="preserve">Gebäudebuchwerte </t>
    </r>
    <r>
      <rPr>
        <u/>
        <sz val="10"/>
        <rFont val="Arial"/>
        <family val="2"/>
      </rPr>
      <t>nur</t>
    </r>
    <r>
      <rPr>
        <sz val="10"/>
        <rFont val="Arial"/>
        <family val="2"/>
      </rPr>
      <t xml:space="preserve"> Wohnbauten</t>
    </r>
  </si>
  <si>
    <t xml:space="preserve">Andere Erlöse </t>
  </si>
  <si>
    <t>x-fach</t>
  </si>
  <si>
    <t xml:space="preserve">HA12 </t>
  </si>
  <si>
    <t>5.5 Kurzfristige Rückstellungen und Verbindlichkeiten</t>
  </si>
  <si>
    <r>
      <t>Kurzfristige Rückstellungen</t>
    </r>
    <r>
      <rPr>
        <sz val="8"/>
        <rFont val="Arial"/>
        <family val="2"/>
      </rPr>
      <t xml:space="preserve"> (vgl. Teil I S. 4)</t>
    </r>
  </si>
  <si>
    <t xml:space="preserve">Wohn-/Nutzfläche eigener Vermietungseinheiten </t>
  </si>
  <si>
    <t>(nur Wohn- und Gewerbeflächen, keine Garagen)</t>
  </si>
  <si>
    <t>Wohnfläche eigene Einheiten</t>
  </si>
  <si>
    <r>
      <t>davon</t>
    </r>
    <r>
      <rPr>
        <sz val="10"/>
        <rFont val="Arial"/>
        <family val="2"/>
      </rPr>
      <t xml:space="preserve"> Zinsen, die der Hausbewirtschaftung zuzuordnen sind</t>
    </r>
  </si>
  <si>
    <t>Ankaufstätigkeit
Ankaufinvestitionen im AV und UV</t>
  </si>
  <si>
    <t>Ankaufstätigkeit im AV und UV</t>
  </si>
  <si>
    <t>MS34</t>
  </si>
  <si>
    <t>MS35</t>
  </si>
  <si>
    <t>Personalaufwand insgesamt lt. GuV</t>
  </si>
  <si>
    <r>
      <t xml:space="preserve">6.5 </t>
    </r>
    <r>
      <rPr>
        <b/>
        <u/>
        <sz val="10"/>
        <rFont val="Arial"/>
        <family val="2"/>
      </rPr>
      <t>Erhöhung oder Verminderung des Bestandes an zum Verkauf bestimmten</t>
    </r>
  </si>
  <si>
    <r>
      <t xml:space="preserve">     </t>
    </r>
    <r>
      <rPr>
        <b/>
        <u/>
        <sz val="10"/>
        <rFont val="Arial"/>
        <family val="2"/>
      </rPr>
      <t>Grundstücken mit fertigen und unfertigen Bauten sowie unfertigen Leistungen</t>
    </r>
  </si>
  <si>
    <r>
      <t xml:space="preserve">6.6 </t>
    </r>
    <r>
      <rPr>
        <b/>
        <u/>
        <sz val="10"/>
        <rFont val="Arial"/>
        <family val="2"/>
      </rPr>
      <t xml:space="preserve">Andere aktivierte Eigenleistungen </t>
    </r>
    <r>
      <rPr>
        <u/>
        <sz val="10"/>
        <rFont val="Arial"/>
        <family val="2"/>
      </rPr>
      <t>(Ausweis lt. GuV)</t>
    </r>
  </si>
  <si>
    <r>
      <t xml:space="preserve">6.7 </t>
    </r>
    <r>
      <rPr>
        <b/>
        <u/>
        <sz val="10"/>
        <rFont val="Arial"/>
        <family val="2"/>
      </rPr>
      <t xml:space="preserve">Sonstige betriebliche Erträge </t>
    </r>
    <r>
      <rPr>
        <u/>
        <sz val="10"/>
        <rFont val="Arial"/>
        <family val="2"/>
      </rPr>
      <t>(Ausweis lt. GuV)</t>
    </r>
  </si>
  <si>
    <r>
      <t xml:space="preserve">6.8 </t>
    </r>
    <r>
      <rPr>
        <b/>
        <u/>
        <sz val="10"/>
        <rFont val="Arial"/>
        <family val="2"/>
      </rPr>
      <t>Sonstige wesentliche zahlungsunwirksame Erträge</t>
    </r>
  </si>
  <si>
    <r>
      <t xml:space="preserve">7.1 </t>
    </r>
    <r>
      <rPr>
        <b/>
        <u/>
        <sz val="10"/>
        <rFont val="Arial"/>
        <family val="2"/>
      </rPr>
      <t>Aufwendungen für die Hausbewirtschaftung</t>
    </r>
  </si>
  <si>
    <r>
      <t xml:space="preserve">7.3 </t>
    </r>
    <r>
      <rPr>
        <b/>
        <u/>
        <sz val="10"/>
        <rFont val="Arial"/>
        <family val="2"/>
      </rPr>
      <t>Aufwendungen für andere Lieferungen und Leistungen</t>
    </r>
  </si>
  <si>
    <r>
      <t xml:space="preserve">7.6 </t>
    </r>
    <r>
      <rPr>
        <b/>
        <u/>
        <sz val="10"/>
        <rFont val="Arial"/>
        <family val="2"/>
      </rPr>
      <t xml:space="preserve">Abschreibungen auf Umlaufvermögen, soweit diese </t>
    </r>
  </si>
  <si>
    <r>
      <t xml:space="preserve">7.8 </t>
    </r>
    <r>
      <rPr>
        <b/>
        <u/>
        <sz val="10"/>
        <rFont val="Arial"/>
        <family val="2"/>
      </rPr>
      <t>Sonstige betriebliche Aufwendungen</t>
    </r>
  </si>
  <si>
    <r>
      <t xml:space="preserve">7.8a </t>
    </r>
    <r>
      <rPr>
        <b/>
        <u/>
        <sz val="10"/>
        <rFont val="Arial"/>
        <family val="2"/>
      </rPr>
      <t>Sonstige wes. zahlungsunwirksame Aufwendungen</t>
    </r>
  </si>
  <si>
    <r>
      <t xml:space="preserve">7.9 </t>
    </r>
    <r>
      <rPr>
        <b/>
        <u/>
        <sz val="10"/>
        <rFont val="Arial"/>
        <family val="2"/>
      </rPr>
      <t>Zinsen und ähnliche Aufwendungen</t>
    </r>
    <r>
      <rPr>
        <b/>
        <sz val="10"/>
        <rFont val="Arial"/>
        <family val="2"/>
      </rPr>
      <t xml:space="preserve"> </t>
    </r>
    <r>
      <rPr>
        <sz val="10"/>
        <rFont val="Arial"/>
        <family val="2"/>
      </rPr>
      <t>(Ausweis lt. GuV)</t>
    </r>
  </si>
  <si>
    <r>
      <t xml:space="preserve">7.13 </t>
    </r>
    <r>
      <rPr>
        <b/>
        <u/>
        <sz val="10"/>
        <rFont val="Arial"/>
        <family val="2"/>
      </rPr>
      <t>sonstige Steuern</t>
    </r>
    <r>
      <rPr>
        <sz val="10"/>
        <rFont val="Arial"/>
        <family val="2"/>
      </rPr>
      <t xml:space="preserve"> (Ausweis lt. GuV)</t>
    </r>
  </si>
  <si>
    <r>
      <t xml:space="preserve">7.14 </t>
    </r>
    <r>
      <rPr>
        <b/>
        <u/>
        <sz val="10"/>
        <rFont val="Arial"/>
        <family val="2"/>
      </rPr>
      <t xml:space="preserve">Aufgrund einer Gewinngemeinschaft, eines
</t>
    </r>
    <r>
      <rPr>
        <b/>
        <sz val="10"/>
        <rFont val="Arial"/>
        <family val="2"/>
      </rPr>
      <t xml:space="preserve">       </t>
    </r>
    <r>
      <rPr>
        <b/>
        <u/>
        <sz val="10"/>
        <rFont val="Arial"/>
        <family val="2"/>
      </rPr>
      <t xml:space="preserve">Ergebnis-/Gewinnabführungsvertrages oder 
</t>
    </r>
    <r>
      <rPr>
        <b/>
        <sz val="10"/>
        <rFont val="Arial"/>
        <family val="2"/>
      </rPr>
      <t xml:space="preserve">       </t>
    </r>
    <r>
      <rPr>
        <b/>
        <u/>
        <sz val="10"/>
        <rFont val="Arial"/>
        <family val="2"/>
      </rPr>
      <t xml:space="preserve">eines Teilgewinn-abführungsvertrages ent-
</t>
    </r>
    <r>
      <rPr>
        <b/>
        <sz val="10"/>
        <rFont val="Arial"/>
        <family val="2"/>
      </rPr>
      <t xml:space="preserve">       </t>
    </r>
    <r>
      <rPr>
        <b/>
        <u/>
        <sz val="10"/>
        <rFont val="Arial"/>
        <family val="2"/>
      </rPr>
      <t>standener</t>
    </r>
  </si>
  <si>
    <r>
      <t xml:space="preserve">7.15 </t>
    </r>
    <r>
      <rPr>
        <b/>
        <u/>
        <sz val="10"/>
        <rFont val="Arial"/>
        <family val="2"/>
      </rPr>
      <t>Jahresüberschuss bzw. -fehlbetrag</t>
    </r>
  </si>
  <si>
    <t>8. Angaben zur Kosten- und Leistungsrechnung (KLR/BAB)</t>
  </si>
  <si>
    <r>
      <t xml:space="preserve">8.1 </t>
    </r>
    <r>
      <rPr>
        <b/>
        <u/>
        <sz val="10"/>
        <rFont val="Arial"/>
        <family val="2"/>
      </rPr>
      <t>Zusammensetzung des über die KLR/BAB zu verteilenden Personal- und Sachaufwandes</t>
    </r>
  </si>
  <si>
    <r>
      <t xml:space="preserve">8.2 </t>
    </r>
    <r>
      <rPr>
        <b/>
        <u/>
        <sz val="10"/>
        <rFont val="Arial"/>
        <family val="2"/>
      </rPr>
      <t>Sächliche Aufwendungen</t>
    </r>
  </si>
  <si>
    <r>
      <t xml:space="preserve">8.3 </t>
    </r>
    <r>
      <rPr>
        <b/>
        <u/>
        <sz val="10"/>
        <rFont val="Arial"/>
        <family val="2"/>
      </rPr>
      <t>Personal- und Sachaufwand insgesamt</t>
    </r>
  </si>
  <si>
    <r>
      <t xml:space="preserve">8.4 </t>
    </r>
    <r>
      <rPr>
        <b/>
        <u/>
        <sz val="10"/>
        <rFont val="Arial"/>
        <family val="2"/>
      </rPr>
      <t>Verteilung des Personalbestandes</t>
    </r>
  </si>
  <si>
    <r>
      <t xml:space="preserve">8.5 </t>
    </r>
    <r>
      <rPr>
        <b/>
        <u/>
        <sz val="10"/>
        <rFont val="Arial"/>
        <family val="2"/>
      </rPr>
      <t>Verteilung des Personal- und Sachaufwandes</t>
    </r>
    <r>
      <rPr>
        <u/>
        <sz val="10"/>
        <rFont val="Arial"/>
        <family val="2"/>
      </rPr>
      <t xml:space="preserve"> (BA10) </t>
    </r>
  </si>
  <si>
    <t xml:space="preserve">     </t>
  </si>
  <si>
    <r>
      <t xml:space="preserve">7.4 </t>
    </r>
    <r>
      <rPr>
        <b/>
        <u/>
        <sz val="10"/>
        <rFont val="Arial"/>
        <family val="2"/>
      </rPr>
      <t>Personalaufwand</t>
    </r>
    <r>
      <rPr>
        <sz val="10"/>
        <rFont val="Arial"/>
        <family val="2"/>
      </rPr>
      <t xml:space="preserve"> (Ausweis lt. GuV)</t>
    </r>
  </si>
  <si>
    <t>Von BA10 entfallen auf</t>
  </si>
  <si>
    <r>
      <t xml:space="preserve">Vom gesamten </t>
    </r>
    <r>
      <rPr>
        <b/>
        <sz val="10"/>
        <rFont val="Arial"/>
        <family val="2"/>
      </rPr>
      <t>Personal</t>
    </r>
  </si>
  <si>
    <t>UE45</t>
  </si>
  <si>
    <t>6. Angaben zu den Erträgen</t>
  </si>
  <si>
    <t>6.1 Umsatzerlöse aus der Hausbewirtschaftung</t>
  </si>
  <si>
    <t>6.2 Umsatzerlöse aus Verkauf von Grundstücken</t>
  </si>
  <si>
    <r>
      <t>6.3 Umsatzerlöse aus Betreuungstätigkeit</t>
    </r>
    <r>
      <rPr>
        <u/>
        <sz val="10"/>
        <rFont val="Arial"/>
        <family val="2"/>
      </rPr>
      <t xml:space="preserve"> (lt. GuV)</t>
    </r>
  </si>
  <si>
    <t xml:space="preserve">   Erträge aus Anlageverkäufen</t>
  </si>
  <si>
    <t xml:space="preserve">   Zuschreibungen zum Anlagevermögen</t>
  </si>
  <si>
    <t xml:space="preserve">   Investitionszulage auf Herstellungskosten</t>
  </si>
  <si>
    <r>
      <t xml:space="preserve">im </t>
    </r>
    <r>
      <rPr>
        <u/>
        <sz val="10"/>
        <rFont val="Arial"/>
        <family val="2"/>
      </rPr>
      <t>eigenen</t>
    </r>
    <r>
      <rPr>
        <sz val="10"/>
        <rFont val="Arial"/>
        <family val="2"/>
      </rPr>
      <t xml:space="preserve"> </t>
    </r>
    <r>
      <rPr>
        <sz val="10"/>
        <rFont val="Arial"/>
      </rPr>
      <t>Bestand</t>
    </r>
  </si>
  <si>
    <t>Anzahl Wohnungen</t>
  </si>
  <si>
    <r>
      <t xml:space="preserve">3.2 Angaben zur Vermietungssituation
</t>
    </r>
    <r>
      <rPr>
        <b/>
        <sz val="10"/>
        <color indexed="10"/>
        <rFont val="Arial"/>
        <family val="2"/>
      </rPr>
      <t xml:space="preserve">Wichtig: bitte nur die </t>
    </r>
    <r>
      <rPr>
        <b/>
        <u/>
        <sz val="10"/>
        <color indexed="10"/>
        <rFont val="Arial"/>
        <family val="2"/>
      </rPr>
      <t>Wohnungsanzahl</t>
    </r>
    <r>
      <rPr>
        <b/>
        <sz val="10"/>
        <color indexed="10"/>
        <rFont val="Arial"/>
        <family val="2"/>
      </rPr>
      <t xml:space="preserve"> angeben</t>
    </r>
  </si>
  <si>
    <r>
      <t>Neuvermietungsquote Mietwohnungen</t>
    </r>
    <r>
      <rPr>
        <sz val="10"/>
        <rFont val="Arial"/>
        <family val="2"/>
      </rPr>
      <t xml:space="preserve">
Anzahl der Neuvermietungen x 100 : Anzahl der Kündigungen und andere Auflösungen von Mietverhältnissen des Geschäftsjahres</t>
    </r>
  </si>
  <si>
    <r>
      <t>Instandhaltungskostensatz jährlich (mit Verwaltungskosten)</t>
    </r>
    <r>
      <rPr>
        <sz val="10"/>
        <rFont val="Arial"/>
      </rPr>
      <t xml:space="preserve">
(Summe Instandhaltungskosten insgesamt + Regiebetriebskosten + anteil. Personal- und Sachaufwand (betreffend Instandhaltung)) : 
Summe Wohn-/Nutzfläche insgesamt</t>
    </r>
  </si>
  <si>
    <r>
      <t>Wirtschaftliches Ergebnis Hausbewirtschaftung</t>
    </r>
    <r>
      <rPr>
        <sz val="10"/>
        <rFont val="Arial"/>
      </rPr>
      <t xml:space="preserve">
Wirtschaftliches Ergebnis der Hausbewirtschaftung : 
Summe Wohn-/Nutzfläche insgesamt : 12</t>
    </r>
  </si>
  <si>
    <r>
      <t>Geldrechnungsmäßiges Ergebnis Hausbewirtschaftung</t>
    </r>
    <r>
      <rPr>
        <sz val="10"/>
        <rFont val="Arial"/>
      </rPr>
      <t xml:space="preserve">
Geldrechnungsmäßiges Ergebnis der  Hausbewirtschaftung : 
Summe Wohn-/Nutzfläche insgesamt : 12</t>
    </r>
  </si>
  <si>
    <r>
      <t>Instandhaltungskostenquote</t>
    </r>
    <r>
      <rPr>
        <sz val="10"/>
        <rFont val="Arial"/>
      </rPr>
      <t xml:space="preserve">
Summe Instandhaltungskosten insgesamt +  Regiebetriebskosten + anteil. Personal- und Sachaufwand (betreffend Instandhaltung) in % der Sollmieten</t>
    </r>
  </si>
  <si>
    <r>
      <t>Abschreibungsquote (Sachanlagen)</t>
    </r>
    <r>
      <rPr>
        <sz val="10"/>
        <rFont val="Arial"/>
      </rPr>
      <t xml:space="preserve">
Planmäßige Abschreibungen der Hausbewirtschaftung auf Sachanlagen insgesamt (ohne Abschreibungen für BAB) in % der Sollmieten</t>
    </r>
  </si>
  <si>
    <r>
      <t>Abschreibungssatz</t>
    </r>
    <r>
      <rPr>
        <sz val="10"/>
        <rFont val="Arial"/>
        <family val="2"/>
      </rPr>
      <t xml:space="preserve">
planmäßige Afa für Wohn- und Geschäftsbauten / Buchwerte der Gebäude</t>
    </r>
  </si>
  <si>
    <r>
      <t>Wirtschaftliches Ergebnis Hausbewirtschaftung</t>
    </r>
    <r>
      <rPr>
        <sz val="10"/>
        <rFont val="Arial"/>
      </rPr>
      <t xml:space="preserve">
Wirtschaftliches Ergebnis der Hausbewirtschaftung in % der Sollmieten einschließlich Mietsubventionen</t>
    </r>
  </si>
  <si>
    <t>1.2. Strukturkennzahlen in % der Sollmieten oder Istmieten</t>
  </si>
  <si>
    <r>
      <t>Verwaltungskostensatz II</t>
    </r>
    <r>
      <rPr>
        <sz val="10"/>
        <rFont val="Arial"/>
      </rPr>
      <t xml:space="preserve">
durchschnittlicher Personal- und Sachaufwand je WE für eigene Einheiten (Hausbewirtschaftung)</t>
    </r>
  </si>
  <si>
    <t xml:space="preserve">   Auflösung von Rückstellungen</t>
  </si>
  <si>
    <t xml:space="preserve">   Verbleibende Erträge </t>
  </si>
  <si>
    <r>
      <t xml:space="preserve">Erträge des Finanzergebnisses </t>
    </r>
    <r>
      <rPr>
        <u/>
        <sz val="10"/>
        <rFont val="Arial"/>
        <family val="2"/>
      </rPr>
      <t>(Ausweis lt. GuV)</t>
    </r>
  </si>
  <si>
    <t>AE01</t>
  </si>
  <si>
    <t>Teil II</t>
  </si>
  <si>
    <t>Tsd. €</t>
  </si>
  <si>
    <t>Teil I - Seite 4/5</t>
  </si>
  <si>
    <r>
      <t>EBITDA vor Instandhaltung</t>
    </r>
    <r>
      <rPr>
        <sz val="10"/>
        <rFont val="Arial"/>
        <family val="2"/>
      </rPr>
      <t xml:space="preserve">
Ergebnis vor Steuern, Zinsen, Abschreibung und Instandhaltung</t>
    </r>
  </si>
  <si>
    <t>AV16</t>
  </si>
  <si>
    <t>4. Angaben zum Vermögen</t>
  </si>
  <si>
    <t>4.1 Anlagevermögen</t>
  </si>
  <si>
    <t>4.1.1 Immaterielle Vermögensgegenstände</t>
  </si>
  <si>
    <t>4.1.2 Sachanlagen</t>
  </si>
  <si>
    <t>4.1.3 Finanzanlagen</t>
  </si>
  <si>
    <t>4.1.4 Anlagevermögen insgesamt</t>
  </si>
  <si>
    <t>4.2 Umlaufvermögen</t>
  </si>
  <si>
    <t>4.3. Bilanzsumme</t>
  </si>
  <si>
    <t>5. Angaben zum Kapital</t>
  </si>
  <si>
    <t>Kurzfristig 
Restlaufzeit &lt; 1 Jahr</t>
  </si>
  <si>
    <t>+</t>
  </si>
  <si>
    <t>Rückstellungen am 01.01. des Geschäftsjahres</t>
  </si>
  <si>
    <t>5.2 Sonderposten mit Rücklageanteil</t>
  </si>
  <si>
    <t>5.3 Rückstellungen</t>
  </si>
  <si>
    <t>5.4 Lang- und mittelfristige Verbindlichkeiten</t>
  </si>
  <si>
    <t>5.4.3 Spareinlagen (lang- und mittelfristig)</t>
  </si>
  <si>
    <t>5.4.4 Übrige lang- und mittelfristige Verbindlichkeiten</t>
  </si>
  <si>
    <t>5.6 Gesamtkapital (=Bilanzsumme)</t>
  </si>
  <si>
    <t>Bilanzsumme zum 31.12. des Geschäftsjahres</t>
  </si>
  <si>
    <t xml:space="preserve">   Umsatzerlöse aus Verkauf von Grundstücken UV ggf. auch AV</t>
  </si>
  <si>
    <t>Erträge aus Beteiligungen</t>
  </si>
  <si>
    <t>Sonstige Zinsen und ähnliche Erträge</t>
  </si>
  <si>
    <t>EB01</t>
  </si>
  <si>
    <t>EW01</t>
  </si>
  <si>
    <t>EZ02</t>
  </si>
  <si>
    <t>Ziffer 1 = Wohnungsbestand erstreckt sich überwiegend auf den Bereich nur einer Kommune</t>
  </si>
  <si>
    <t>K33A</t>
  </si>
  <si>
    <t>K48D</t>
  </si>
  <si>
    <t>Erlöse aus Verkäufen des AV und UV
(Capital Gains)</t>
  </si>
  <si>
    <t>EBIT</t>
  </si>
  <si>
    <t>Planmäßige Abschreibungen auf "Grundstücke und grundstücksgleiche Rechte mit Wohnbauten" sowie "Grundstücke und grundstücksgleiche Rechte mit anderen Bauten" u. a. Posten, die üblicherweise der Hausbewirtschaftung zugeordnet werden.</t>
  </si>
  <si>
    <r>
      <t xml:space="preserve">Liquidität 
</t>
    </r>
    <r>
      <rPr>
        <sz val="10"/>
        <rFont val="Arial"/>
        <family val="2"/>
      </rPr>
      <t>(Flüssige Mittel + sonstiges kurzfristiges Umlaufvermögen) x 100 : kurzfristiges Fremdkapital</t>
    </r>
  </si>
  <si>
    <r>
      <t xml:space="preserve">Anlagendeckungsgrad 
</t>
    </r>
    <r>
      <rPr>
        <sz val="10"/>
        <rFont val="Arial"/>
        <family val="2"/>
      </rPr>
      <t>(Eigenkapital + langfristige Rückstellungen + langfristiges Fremdkapital) x 100 : Anlagevermögen</t>
    </r>
  </si>
  <si>
    <r>
      <t xml:space="preserve">lgfr. Fremdkapitalqoute 
</t>
    </r>
    <r>
      <rPr>
        <sz val="10"/>
        <rFont val="Arial"/>
        <family val="2"/>
      </rPr>
      <t>langfristiges Fremdkapital x 100 : Bilanzsumme</t>
    </r>
  </si>
  <si>
    <r>
      <t xml:space="preserve">Eigenkapitalquote 
</t>
    </r>
    <r>
      <rPr>
        <sz val="10"/>
        <rFont val="Arial"/>
        <family val="2"/>
      </rPr>
      <t>Eigenkapital x 100 : Gesamtkapital (=Bilanzsumme)</t>
    </r>
  </si>
  <si>
    <t>Bearbeiter/in im Unternehmen</t>
  </si>
  <si>
    <t>Bearbeiter/in im Verband</t>
  </si>
  <si>
    <t>1.2 Eigentümer</t>
  </si>
  <si>
    <t>UE51</t>
  </si>
  <si>
    <t xml:space="preserve">1.2A Bewirtschaftete Vermietungs- und Verwaltungseinheiten (eigene, gemietete bzw. </t>
  </si>
  <si>
    <t>1.3 Räumliche Ausdehnung des Wohnungsbestandes</t>
  </si>
  <si>
    <t>1.5 Eigene technische Abteilung</t>
  </si>
  <si>
    <t>1.8 Baubetreuung im Berichtsjahr</t>
  </si>
  <si>
    <t>Ziffer 2 = ja, nur eigene Maßnahmen (Neubau und umfassende Modernisierung von Mietwohnungen)</t>
  </si>
  <si>
    <t>= entspricht i.d.R. der Zwischensumme "Eigenkapital Gesamt" in der Bilanz</t>
  </si>
  <si>
    <t>(nicht Kapital-/Gewinn-/Ergebnis-/Sonderücklagen o.ä.; diese gehören zu 5.1))</t>
  </si>
  <si>
    <r>
      <t>davon</t>
    </r>
    <r>
      <rPr>
        <sz val="8"/>
        <rFont val="Arial"/>
        <family val="2"/>
      </rPr>
      <t xml:space="preserve">  nur aus den Bilanzposten  "Grstcke. und grstcksgl. Rechte mit Wohnbauten" und</t>
    </r>
  </si>
  <si>
    <t xml:space="preserve">             "Grstcke. und grstcksgl. Rechte mit Geschäfts- und anderen Bauten" entnehmen!</t>
  </si>
  <si>
    <r>
      <t xml:space="preserve">  </t>
    </r>
    <r>
      <rPr>
        <u/>
        <sz val="10"/>
        <rFont val="Arial"/>
        <family val="2"/>
      </rPr>
      <t>Durch Treuhand- u./o. Verwaltervertrag betreute Einheiten:</t>
    </r>
  </si>
  <si>
    <t>Erträge aus anderen Wertpapieren und 
Ausleihungen des Finanzanlagevermögens</t>
  </si>
  <si>
    <t>Veränderung von langfristigen Rückstellungen, die das 
Jahresergebnis nicht beeinflusst haben (Altschuldenhilfegesetz)</t>
  </si>
  <si>
    <r>
      <t>Ertragsmultiplikator (Maklerfaktor)</t>
    </r>
    <r>
      <rPr>
        <sz val="10"/>
        <rFont val="Arial"/>
        <family val="2"/>
      </rPr>
      <t xml:space="preserve">
Istmiete einschließlich Zuschüssen in % der Buchwerte der Gebäude inkl. Grundstücke</t>
    </r>
  </si>
  <si>
    <r>
      <t xml:space="preserve">Mietenmultiplikator
</t>
    </r>
    <r>
      <rPr>
        <sz val="10"/>
        <rFont val="Arial"/>
        <family val="2"/>
      </rPr>
      <t>Buchwerte der Gebäude inkl. Grundstücke als x-faches der Istmiete</t>
    </r>
  </si>
  <si>
    <t>Jahr:</t>
  </si>
  <si>
    <t>UKZ:</t>
  </si>
  <si>
    <t>Unternehmen:</t>
  </si>
  <si>
    <t>Anz. WE:</t>
  </si>
  <si>
    <t>Leerstand %</t>
  </si>
  <si>
    <r>
      <t>Erlösschmälerungen</t>
    </r>
    <r>
      <rPr>
        <sz val="10"/>
        <rFont val="Arial"/>
        <family val="2"/>
      </rPr>
      <t xml:space="preserve">
Erlösschmälerungen betreffend Mieten und Umlagen des Geschäftsjahres : 
Summe Wohn-/Nutzfläche insgesamt : 12</t>
    </r>
  </si>
  <si>
    <t>Sachanlagevermögen Buchwert</t>
  </si>
  <si>
    <t>2. Angaben zum Personalbestand</t>
  </si>
  <si>
    <t xml:space="preserve">3. Angaben zum Bestand </t>
  </si>
  <si>
    <t>3.1 Bestand bewirtschafteter Einheiten</t>
  </si>
  <si>
    <t>3.4 Im Geschäftsjahr fertiggestellte Mietwohnungen</t>
  </si>
  <si>
    <t xml:space="preserve">  Mietwohnungen</t>
  </si>
  <si>
    <t xml:space="preserve">  Garagen und Einstellplätze</t>
  </si>
  <si>
    <r>
      <t xml:space="preserve">  </t>
    </r>
    <r>
      <rPr>
        <u/>
        <sz val="10"/>
        <rFont val="Arial"/>
        <family val="2"/>
      </rPr>
      <t>Eigene Einheiten:</t>
    </r>
  </si>
  <si>
    <t xml:space="preserve">  Gewerbliche/Sonstige Einheiten</t>
  </si>
  <si>
    <t xml:space="preserve">  Pachtverträge (mietereigene Garagen/Gärten s. Kommentar)</t>
  </si>
  <si>
    <t xml:space="preserve">  Miet- und Eigentumswohnungen</t>
  </si>
  <si>
    <t xml:space="preserve">  Pachtverträge (Garagen, Gärten)</t>
  </si>
  <si>
    <t>EN12</t>
  </si>
  <si>
    <t>EN13</t>
  </si>
  <si>
    <r>
      <t xml:space="preserve">Reinvestitionsquote 
</t>
    </r>
    <r>
      <rPr>
        <sz val="10"/>
        <rFont val="Arial"/>
        <family val="2"/>
      </rPr>
      <t>Summe der Nettoinvestitionen im Sachanlagevermögen (Zugänge) x 100 : Summe der Jahresabschreibungen auf Sachanlagevermögen</t>
    </r>
  </si>
  <si>
    <t>MS07</t>
  </si>
  <si>
    <t>K27C</t>
  </si>
  <si>
    <t>K39A</t>
  </si>
  <si>
    <r>
      <t xml:space="preserve">durchschn. Spareinlagenverzinsung 
</t>
    </r>
    <r>
      <rPr>
        <sz val="10"/>
        <rFont val="Arial"/>
        <family val="2"/>
      </rPr>
      <t>Zinsen für Spareinlagen x 100 : Spareinlagen</t>
    </r>
  </si>
  <si>
    <t>Ankäufe im AV und UV</t>
  </si>
  <si>
    <t>Ankaufsinvestition im AV und UV</t>
  </si>
  <si>
    <t>Ziffer 2 = Wohnungsbestand erstreckt sich überwiegend auf den Bereich mehrerer Kommunen</t>
  </si>
  <si>
    <t xml:space="preserve">   davon Fremdmitteleinsatz (Kredite), auch zinsverbilligte</t>
  </si>
  <si>
    <t xml:space="preserve">   davon öffentliche Fördermittel (nur Zuschüsse und 
            Zulagen)</t>
  </si>
  <si>
    <t>HINWEIS</t>
  </si>
  <si>
    <t>Hauswarte/Hausmeister/Reinigungskräfte</t>
  </si>
  <si>
    <t>Auflösungen/Übertragung von Sonderposten mit Rücklageanteil</t>
  </si>
  <si>
    <t>Ziffer 1 = kommunales Wohnungsunternehmen</t>
  </si>
  <si>
    <t>Ziffer 4 = Sonstiges Unternehmen</t>
  </si>
  <si>
    <t>Ziffer 1 = in den neuen Bundesländern tätig</t>
  </si>
  <si>
    <t>Erhaltene Anzahlungen</t>
  </si>
  <si>
    <r>
      <t>Erlössschmälerungsquote</t>
    </r>
    <r>
      <rPr>
        <sz val="10"/>
        <rFont val="Arial"/>
      </rPr>
      <t xml:space="preserve">
Erlösschmälerungen betreffend Mieten und Umlagen des Geschäftsjahres in % der Sollmieten und Umlagen</t>
    </r>
  </si>
  <si>
    <t>I. 4 - I. 6</t>
  </si>
  <si>
    <t>I.8_LG10</t>
  </si>
  <si>
    <t>Forderungen aus Vermietung (Bilanzposten zum 31.12.)</t>
  </si>
  <si>
    <r>
      <t xml:space="preserve">Sonstige </t>
    </r>
    <r>
      <rPr>
        <b/>
        <sz val="8"/>
        <rFont val="Arial"/>
        <family val="2"/>
      </rPr>
      <t>wesentliche</t>
    </r>
    <r>
      <rPr>
        <sz val="8"/>
        <rFont val="Arial"/>
        <family val="2"/>
      </rPr>
      <t xml:space="preserve"> zahlungsunwirksame Aufwendungen (z.B. Abschreibungen auf Forderungen oder sonstiges Umlaufvermögen, Pauschalwertberichtigungen, wesentliche Aufwendungen, denen kein Geldausgang entspricht)
</t>
    </r>
    <r>
      <rPr>
        <b/>
        <sz val="8"/>
        <rFont val="Arial"/>
        <family val="2"/>
      </rPr>
      <t>Angabe ist nicht zu tätigen</t>
    </r>
    <r>
      <rPr>
        <sz val="8"/>
        <rFont val="Arial"/>
        <family val="2"/>
      </rPr>
      <t>, wenn die zahlungsunwirksamen Aufwendungen bereits automatisch bei der Cash-Flow-Ermittlung berücksichtigt werden (Abschreibungen auf Sach- und Finanzanlagen (AA10, AF10), Abschreibungen auf Geldbeschaffungskosten(ZA02))</t>
    </r>
  </si>
  <si>
    <r>
      <t xml:space="preserve">(z. B. Ausbuchung von Verbindlichkeiten (auch Altschuldenerlass durch Abriss), Wegfall von Pauschalwertberichtigungen, Forderungszuschreibungen, wesentliche Erträge, denen kein Geldeingang gegenübersteht)
</t>
    </r>
    <r>
      <rPr>
        <b/>
        <sz val="8"/>
        <rFont val="Arial"/>
        <family val="2"/>
      </rPr>
      <t>Angabe ist nicht zu tätigen</t>
    </r>
    <r>
      <rPr>
        <sz val="8"/>
        <rFont val="Arial"/>
        <family val="2"/>
      </rPr>
      <t>, wenn die zahlungsunwirksamen Erträge bereits automatisch bei der Cash-Flow-Ermittlung berücksichtigt werden (Auflösung von Sonderposten (SP10-SP09), Auflösung langfristiger Rückstellungen (LR10-LR09+LR09A), Zuschreibungen zum Anlagevermögen (SE02))</t>
    </r>
  </si>
  <si>
    <t>Z23A</t>
  </si>
  <si>
    <t>Z23B</t>
  </si>
  <si>
    <r>
      <t>Verwaltungskostensatz V</t>
    </r>
    <r>
      <rPr>
        <sz val="10"/>
        <rFont val="Arial"/>
      </rPr>
      <t xml:space="preserve">
durchschnittlicher Personal- und Sachaufwand : Umsatzerlösen</t>
    </r>
  </si>
  <si>
    <r>
      <t xml:space="preserve">Kosten der </t>
    </r>
    <r>
      <rPr>
        <u/>
        <sz val="10"/>
        <rFont val="Arial"/>
        <family val="2"/>
      </rPr>
      <t>Verwaltung</t>
    </r>
    <r>
      <rPr>
        <sz val="10"/>
        <rFont val="Arial"/>
        <family val="2"/>
      </rPr>
      <t xml:space="preserve"> der eigenen Einheiten</t>
    </r>
  </si>
  <si>
    <r>
      <t xml:space="preserve">Hausbewirtschaftung </t>
    </r>
    <r>
      <rPr>
        <i/>
        <u/>
        <sz val="10"/>
        <rFont val="Arial"/>
        <family val="2"/>
      </rPr>
      <t>(eigene</t>
    </r>
    <r>
      <rPr>
        <i/>
        <sz val="10"/>
        <rFont val="Arial"/>
        <family val="2"/>
      </rPr>
      <t xml:space="preserve"> Einheiten)</t>
    </r>
  </si>
  <si>
    <r>
      <t>Verwaltungskostensatz IV</t>
    </r>
    <r>
      <rPr>
        <sz val="10"/>
        <rFont val="Arial"/>
      </rPr>
      <t xml:space="preserve">
durchschnittlicher Personal- und Sachaufwand (eigene Einheiten) : Istmieten (eigene Einheiten)</t>
    </r>
  </si>
  <si>
    <t>SL20</t>
  </si>
  <si>
    <t xml:space="preserve">Spareinlagen </t>
  </si>
  <si>
    <t>K24B</t>
  </si>
  <si>
    <t>K24C</t>
  </si>
  <si>
    <r>
      <t xml:space="preserve">Möglicher Kapitaldienst
</t>
    </r>
    <r>
      <rPr>
        <sz val="10"/>
        <rFont val="Arial"/>
        <family val="2"/>
      </rPr>
      <t>EBITDA : (Lgfr. Objektfinanzierungsmittel + Spareinlagen)</t>
    </r>
  </si>
  <si>
    <r>
      <t xml:space="preserve">Istannuität
</t>
    </r>
    <r>
      <rPr>
        <sz val="10"/>
        <rFont val="Arial"/>
        <family val="2"/>
      </rPr>
      <t>Kapitaldienst (Zinsen und Tilgung auf die lgfr. Objektfinanzierungsmittel) :  Lgfr. Objektfinanzierungsmittel + Spareinlagen</t>
    </r>
  </si>
  <si>
    <t>XX60</t>
  </si>
  <si>
    <r>
      <t>Übrige Aufwendungen (</t>
    </r>
    <r>
      <rPr>
        <u/>
        <sz val="10"/>
        <rFont val="Arial"/>
        <family val="2"/>
      </rPr>
      <t>eigene Einheiten</t>
    </r>
    <r>
      <rPr>
        <sz val="10"/>
        <rFont val="Arial"/>
      </rPr>
      <t xml:space="preserve">) die der Hausbewirtschaftung zuzuordnen sind </t>
    </r>
  </si>
  <si>
    <t>analog Abschnitt 5.4.1 (Teil I - Seite 5)</t>
  </si>
  <si>
    <r>
      <t xml:space="preserve">Wirtschaftliches Eigenkapital - pauschaliert
</t>
    </r>
    <r>
      <rPr>
        <sz val="10"/>
        <rFont val="Arial"/>
        <family val="2"/>
      </rPr>
      <t>Unternehmenswert (UE*Vervielfältiger)-Buchwert Grundbesitz</t>
    </r>
  </si>
  <si>
    <t>I.3, I.5 u. CF</t>
  </si>
  <si>
    <t>I.3 u. CF</t>
  </si>
  <si>
    <t>I.3-I.5 u. CF</t>
  </si>
  <si>
    <t>I.2 u. I.6</t>
  </si>
  <si>
    <t>I.2, I.7-8</t>
  </si>
  <si>
    <t>I.2, I.8-9</t>
  </si>
  <si>
    <t>I.2 u. I.3</t>
  </si>
  <si>
    <t>I.2 u. I.5</t>
  </si>
  <si>
    <t>I.2</t>
  </si>
  <si>
    <t>I.2, I.8, II</t>
  </si>
  <si>
    <t>I.2 u. I.8</t>
  </si>
  <si>
    <t>I.2 u. I.9</t>
  </si>
  <si>
    <t>I.2 u. II</t>
  </si>
  <si>
    <t>Erg.HBW</t>
  </si>
  <si>
    <t>I.6</t>
  </si>
  <si>
    <t>I.6 u. I.8</t>
  </si>
  <si>
    <t>I.6-I.8</t>
  </si>
  <si>
    <t>I.6 u. I.9</t>
  </si>
  <si>
    <t>I.5-6, I.9</t>
  </si>
  <si>
    <t>I.6 u. II</t>
  </si>
  <si>
    <t>I.3 u. I.6</t>
  </si>
  <si>
    <t>I.1 u. II</t>
  </si>
  <si>
    <t>VERW</t>
  </si>
  <si>
    <t>Cashflow (CF)</t>
  </si>
  <si>
    <t>CF</t>
  </si>
  <si>
    <t>p.a. €/m²</t>
  </si>
  <si>
    <t xml:space="preserve"> + Umsatzerlöse der Hausbewirtschaftung</t>
  </si>
  <si>
    <t>I.6_UE10</t>
  </si>
  <si>
    <t>I.6_UE04</t>
  </si>
  <si>
    <t xml:space="preserve"> + Bestandsveränderung BK (kalt u. warm) eigene Einheiten</t>
  </si>
  <si>
    <t>I.7_BV10</t>
  </si>
  <si>
    <t xml:space="preserve"> + Erstattung Inst.-kosten eigener Einheiten</t>
  </si>
  <si>
    <t xml:space="preserve"> + Aufl. Werb. Mietforderungen eig. Einheiten</t>
  </si>
  <si>
    <t>I.7_SE07</t>
  </si>
  <si>
    <t xml:space="preserve"> + sonstige Erträge eigener Einheiten</t>
  </si>
  <si>
    <t>I.7_SE09</t>
  </si>
  <si>
    <t xml:space="preserve"> - Aufwendungen für Hausbewirtschaftung</t>
  </si>
  <si>
    <t>I.8_AH10</t>
  </si>
  <si>
    <t xml:space="preserve">   ./. Aufw. für angemietete Einheiten</t>
  </si>
  <si>
    <t>I.8_PA01</t>
  </si>
  <si>
    <t xml:space="preserve">   (davon Instandhaltung)</t>
  </si>
  <si>
    <t>(</t>
  </si>
  <si>
    <t>)</t>
  </si>
  <si>
    <t>(I.8_IK01)</t>
  </si>
  <si>
    <t xml:space="preserve"> - AfA auf Sachanlagen und imm. VG</t>
  </si>
  <si>
    <t>I.8_AH01</t>
  </si>
  <si>
    <t xml:space="preserve"> - Abschreibungen u. Wertberichtigungen auf Mietforderungen</t>
  </si>
  <si>
    <t>I.8_AM01</t>
  </si>
  <si>
    <t xml:space="preserve"> - Zinsen u.ä. Aufwendungen</t>
  </si>
  <si>
    <t>I.9_ZH10</t>
  </si>
  <si>
    <t xml:space="preserve"> - Grundsteuern eigener Einheiten</t>
  </si>
  <si>
    <t>verteilte Kosten (BAB):</t>
  </si>
  <si>
    <t xml:space="preserve"> - Instandhaltung eigener Einheiten</t>
  </si>
  <si>
    <t>II_BA21</t>
  </si>
  <si>
    <t xml:space="preserve"> - Betriebskosten eigener Einheiten</t>
  </si>
  <si>
    <t>II_BA22</t>
  </si>
  <si>
    <t xml:space="preserve"> - Heiz- u. Ww-Kosten eigener Einheiten</t>
  </si>
  <si>
    <t>II_BA23</t>
  </si>
  <si>
    <t xml:space="preserve"> - Verwaltungskosten eigener Einheiten</t>
  </si>
  <si>
    <t>II_BA14</t>
  </si>
  <si>
    <t>Ergebnis der HBW (wirtschaftlich)</t>
  </si>
  <si>
    <t xml:space="preserve"> + AfA auf Sachanlagen und imm. VG</t>
  </si>
  <si>
    <t xml:space="preserve"> -  planm. Tilgung Dauerfinanzierungsmittel</t>
  </si>
  <si>
    <t>I.5_TI10</t>
  </si>
  <si>
    <t>Ergebnis der HBW (Geldrechnung)</t>
  </si>
  <si>
    <t>Sollmieten  vor Abzug der Erlösschmälerungen</t>
  </si>
  <si>
    <t>I.6_UE01</t>
  </si>
  <si>
    <t>I.6_UE03</t>
  </si>
  <si>
    <t>mtl.</t>
  </si>
  <si>
    <t>p.a.</t>
  </si>
  <si>
    <r>
      <rPr>
        <b/>
        <sz val="10"/>
        <rFont val="Arial"/>
        <family val="2"/>
      </rPr>
      <t>Ergebnis der HBW (</t>
    </r>
    <r>
      <rPr>
        <b/>
        <u/>
        <sz val="10"/>
        <rFont val="Arial"/>
        <family val="2"/>
      </rPr>
      <t>wirtschaftlich</t>
    </r>
    <r>
      <rPr>
        <b/>
        <sz val="10"/>
        <rFont val="Arial"/>
        <family val="2"/>
      </rPr>
      <t>)</t>
    </r>
    <r>
      <rPr>
        <sz val="10"/>
        <rFont val="Arial"/>
      </rPr>
      <t xml:space="preserve"> / m²</t>
    </r>
  </si>
  <si>
    <t>zzgl. Instandhaltung</t>
  </si>
  <si>
    <t>Kennz_Z08</t>
  </si>
  <si>
    <t>Erg. HBW (wirtschaftlich) / (Sollmieten + Mietsubventionen)</t>
  </si>
  <si>
    <t>Kennz_Z17</t>
  </si>
  <si>
    <r>
      <rPr>
        <b/>
        <sz val="10"/>
        <rFont val="Arial"/>
        <family val="2"/>
      </rPr>
      <t>Ergebnis der HBW (</t>
    </r>
    <r>
      <rPr>
        <b/>
        <u/>
        <sz val="10"/>
        <rFont val="Arial"/>
        <family val="2"/>
      </rPr>
      <t>Geldrechnung</t>
    </r>
    <r>
      <rPr>
        <b/>
        <sz val="10"/>
        <rFont val="Arial"/>
        <family val="2"/>
      </rPr>
      <t>)</t>
    </r>
    <r>
      <rPr>
        <sz val="10"/>
        <rFont val="Arial"/>
      </rPr>
      <t xml:space="preserve"> / m²</t>
    </r>
  </si>
  <si>
    <t>Kennz_Z09</t>
  </si>
  <si>
    <t>Erg. HBW (Geldrechnung) / (Sollmieten + Mietsubventionen)</t>
  </si>
  <si>
    <t>Kennz_Z18</t>
  </si>
  <si>
    <t>Bestand</t>
  </si>
  <si>
    <t>Divisor</t>
  </si>
  <si>
    <t>Einheiten</t>
  </si>
  <si>
    <t>Verw.-Einh.</t>
  </si>
  <si>
    <t>Eigene Einheiten</t>
  </si>
  <si>
    <t xml:space="preserve"> + Mietwohnungen</t>
  </si>
  <si>
    <t>I.2_EE01</t>
  </si>
  <si>
    <t xml:space="preserve"> + Garagen und Stellplätze</t>
  </si>
  <si>
    <t>I.2_EE02</t>
  </si>
  <si>
    <t xml:space="preserve"> + Gewerbliche/sonstige Einheiten</t>
  </si>
  <si>
    <t>I.2_EE03</t>
  </si>
  <si>
    <t xml:space="preserve"> + Pachtverträge (Garagen, Gärten, …)</t>
  </si>
  <si>
    <t>I.2_EE04</t>
  </si>
  <si>
    <t>eigene Verwaltungseinheiten (VE.E)</t>
  </si>
  <si>
    <t>Durch Treuhand oder Verwaltervertrag betreute Obj.</t>
  </si>
  <si>
    <t xml:space="preserve"> + Miet- und Eigentumswohnungen</t>
  </si>
  <si>
    <t>I.2_VE01</t>
  </si>
  <si>
    <t>I.2_VE02</t>
  </si>
  <si>
    <t>I.2_VE03</t>
  </si>
  <si>
    <t>I.2_VE04</t>
  </si>
  <si>
    <t>betreute Verwaltungseinheiten (VE.B)</t>
  </si>
  <si>
    <t>eigene und betreute Verwaltungseinheiten (VE.E+B)</t>
  </si>
  <si>
    <t xml:space="preserve"> + Kosten der Verwaltung der eigenen Einheiten</t>
  </si>
  <si>
    <t xml:space="preserve"> + Kosten der verwaltungsmäßigen Betreuung</t>
  </si>
  <si>
    <t>II_BA15</t>
  </si>
  <si>
    <t>Verwaltungskostensatz I</t>
  </si>
  <si>
    <t>Kennz_Z23</t>
  </si>
  <si>
    <t>Kosten der Verwaltung der eigenen Einheiten</t>
  </si>
  <si>
    <t xml:space="preserve"> + Mietsubventionen</t>
  </si>
  <si>
    <t xml:space="preserve"> - Erlössch. betr. Mieten wg. fehlender Anschlussvermietung </t>
  </si>
  <si>
    <t>I.6_ES11</t>
  </si>
  <si>
    <t xml:space="preserve"> - Erlössch. betr. Mieten wegen Modernisierung / Verkauf </t>
  </si>
  <si>
    <t>I.6_ES12</t>
  </si>
  <si>
    <t>Verwaltungskostensatz IV</t>
  </si>
  <si>
    <t>Kennz_Z23A</t>
  </si>
  <si>
    <t>Kosten der verwaltungsmäßigen Betreuung</t>
  </si>
  <si>
    <t>Umsatzerlöse aus der Hausbewirtschaftung</t>
  </si>
  <si>
    <t>Umsatzerlöse aus Verkauf von Grundstücken</t>
  </si>
  <si>
    <t>Umsatzerlöse aus Betreuungstätigkeit (lt. GuV)</t>
  </si>
  <si>
    <t>Umsatzerlöse aus anderen Lieferungen und L.</t>
  </si>
  <si>
    <t>Kennz_Z23B</t>
  </si>
  <si>
    <t>Veränderung von langfristigen Rückstellungen, die das Jahresergebnis nicht beeinflusst haben (Altschuldenhilfegesetz)</t>
  </si>
  <si>
    <t>Handbuch zum Betriebsvergleich</t>
  </si>
  <si>
    <t>Zusammensetzung</t>
  </si>
  <si>
    <t>Beschreibung</t>
  </si>
  <si>
    <t>Ursachen für Abweichung</t>
  </si>
  <si>
    <t>Formel</t>
  </si>
  <si>
    <t>vgl. K20, K23, K24, K28, K29, K31, K32</t>
  </si>
  <si>
    <t>GK10/1000</t>
  </si>
  <si>
    <r>
      <t>Eigenkapital</t>
    </r>
    <r>
      <rPr>
        <sz val="10"/>
        <rFont val="Arial"/>
        <family val="2"/>
      </rPr>
      <t xml:space="preserve">
Eigenkapital (Bilanz inkl. Investitionszulage) + 3/4 Sonderposten mit Rücklageanteil (ohne Investitionszulage)</t>
    </r>
  </si>
  <si>
    <t>vgl. K23, K25, K27, K27A, K30A; K38</t>
  </si>
  <si>
    <r>
      <t xml:space="preserve">Wirtschaftliches Eigenkapital - pauschaliert
</t>
    </r>
    <r>
      <rPr>
        <sz val="10"/>
        <rFont val="Arial"/>
        <family val="2"/>
      </rPr>
      <t>Unternehmenswert (UE*Vervielfältiger)-Fremdkapital
HINWEIS: Diese Kennzahl ist kein Bestandteil im Standardbericht!</t>
    </r>
  </si>
  <si>
    <t>Das Eigenkapital wird um die Differenz aus den Buchwerten der Grundstücke mit Wohn- und Geschäftsbauten zu dem 10fachen der Jahresrohmiete ersetzt. Dieser entspricht annähernd einem Marktwert. Die Pauschalierung auf den Faktor "10" entspricht nicht komplett den individuellen Gegebenheiten, ist aber aus Gründen einer Vergleichbarkeit sinnvoll, da bereits über die unterschiedlich hohen Mieten einer unterschiedlichen Bewertung Rechnung getragen wird.</t>
  </si>
  <si>
    <t>(K02*1000-AV15-AV16+10*(UE01+UE03-ES11-ES12))/1000</t>
  </si>
  <si>
    <t>vgl. K24, K25, K39</t>
  </si>
  <si>
    <t>(FK10+FK50+SL10+LV10+SP10/4)/1000</t>
  </si>
  <si>
    <t>vgl.K21</t>
  </si>
  <si>
    <t>AV08/1000</t>
  </si>
  <si>
    <t>vgl. K22, K36, K37</t>
  </si>
  <si>
    <t>AV11/1000</t>
  </si>
  <si>
    <t>AV12/1000</t>
  </si>
  <si>
    <t>IK01/1000</t>
  </si>
  <si>
    <t>vgl. K14, K27 bis K33, K35 bis K38</t>
  </si>
  <si>
    <t>GW10/1000</t>
  </si>
  <si>
    <t>Das EBIT wird verwendet, um die Geschäftsergebnisse von Unternehmen international vergleichbar zu machen. EBIT (Earnings Before Interest and Taxes) ist also das operative Ergebnis eines Unternehmens vor Zinsen und Steuern. Da international verschiedene steuerliche Regelungen und unterschiedliche Zinsbedingungen bestehen, sind Nachsteuerergebnisse oft nicht vergleichbar. Eine Abwandlung dieser Kennzahl - das EBITDA (Earnings Before Interest, Taxes, Depreciation and Amortization) - enthält im Gegensatz zum "einfachen" EBIT auch die Abschreibungen nicht.</t>
  </si>
  <si>
    <t>(GW10-GW20+XX28-GR10-XX50+ST10+AA04+AA03-EA01)+(ZA10-EZ02-SE02-EW01+AA10-AS05+AS04+AF10)</t>
  </si>
  <si>
    <r>
      <t>Jahresergebnis zu Wohn-/Nutzfläche</t>
    </r>
    <r>
      <rPr>
        <sz val="10"/>
        <rFont val="Arial"/>
        <family val="2"/>
      </rPr>
      <t xml:space="preserve"> 
Jahresüberschuss/-fehlbetrag : Wohn-/Nutzfläche der eigenen und durch Miete/Pacht erworbenen Einheiten</t>
    </r>
  </si>
  <si>
    <t>Euro/m²</t>
  </si>
  <si>
    <t>GW10/(EN10+EN12)</t>
  </si>
  <si>
    <r>
      <t xml:space="preserve">EBITDA vor Instandhaltung
</t>
    </r>
    <r>
      <rPr>
        <sz val="10"/>
        <rFont val="Arial"/>
        <family val="2"/>
      </rPr>
      <t>Ergebnis vor Steuern, Zinsen, Abschreibung und Instandhaltung</t>
    </r>
  </si>
  <si>
    <t>(GW10-GW20+XX28-GR10-XX50+ST10+AA04+AA03-EA01)+(ZA10-EZ02-SE02-EW01+AA10-AS05+AS04+AF10+(IK01+XX45-SE03))</t>
  </si>
  <si>
    <t>K06A/(EN10+EN12)</t>
  </si>
  <si>
    <t>K06C/(EN10+EN12)</t>
  </si>
  <si>
    <t>UE10/1000</t>
  </si>
  <si>
    <t>Sollmieten der eigenen Einheiten</t>
  </si>
  <si>
    <t>UE01/1000</t>
  </si>
  <si>
    <t>Erlösschmälerung zur Sollmiete eigener Einheiten</t>
  </si>
  <si>
    <t>(ES11+ES12)/1000</t>
  </si>
  <si>
    <t>ES02/1000</t>
  </si>
  <si>
    <t>UV25/1000</t>
  </si>
  <si>
    <t>AM01/1000</t>
  </si>
  <si>
    <t>SE01/1000</t>
  </si>
  <si>
    <t>AS01/1000</t>
  </si>
  <si>
    <t>AH01/1000</t>
  </si>
  <si>
    <t>LG10/1000</t>
  </si>
  <si>
    <t>(ZA01+ZA02)/1000</t>
  </si>
  <si>
    <t>Der Cash Flow stellt das liquiditätsmäßige Ergebnis des Unternehmens dar. Aus diesem Ergebnis sind insbesondere die Tilgungsleistungen, die notwendigen Instandhaltungsmaßnahmen sowie der Fixkostenblock aus den Verwaltungsaufwendungen zu erbringen. 
Eine dauerhafte Unterdeckung wird zu</t>
  </si>
  <si>
    <t xml:space="preserve"> - Höhe des Jahresüberschusses/-fehlbetrages
 - Höhe der nicht finanzwirksamen Erträge und Aufwendungen
 - Verbrauch/Bildung von Rückstellungen für Bauinstandhaltung
 - Verbrauch und Bildung anderer langfristiger Rückstellungen</t>
  </si>
  <si>
    <t>einer Liquiditätskrise führen. Ein positives Ergebnis muss zwangsläufig in Reinvestitionen fließen um den Bestand dauerhaft vermietbar zu halten und die künftige Ertragskraft des Unternehmens zu sichern.</t>
  </si>
  <si>
    <t xml:space="preserve"> dto.</t>
  </si>
  <si>
    <t>wie K14, hier ist allerdings die beeinflussbare Größe der Instandhaltungskosten eliminiert</t>
  </si>
  <si>
    <t>K14 + IK01</t>
  </si>
  <si>
    <t>wie K14</t>
  </si>
  <si>
    <t>(GW10-GW20+AA10+ZA02+AF10+(SP10-SP09)+(LR10-LR09+LR09A)-SE02)</t>
  </si>
  <si>
    <t>TI10/1000</t>
  </si>
  <si>
    <t>UV24/1000</t>
  </si>
  <si>
    <t>EE01+(EE02/7)+EE03+EE04/12</t>
  </si>
  <si>
    <t>PE01+(PE02/7)+PE03</t>
  </si>
  <si>
    <t>Wohn- / Nutzfläche der durch Miete/Pacht verschafften Einheiten (Fläche zu K16A)</t>
  </si>
  <si>
    <r>
      <t xml:space="preserve">Anlagenintensität 
</t>
    </r>
    <r>
      <rPr>
        <sz val="10"/>
        <rFont val="Arial"/>
        <family val="2"/>
      </rPr>
      <t>Anlagevermögen x 100 : Gesamtvermögen (=Bilanzsumme)</t>
    </r>
  </si>
  <si>
    <t xml:space="preserve">Der Anteil des Anlagevermögens ist bei Wohnungsunternehmen naturgemäß sehr groß. Die Aussagekraft dieser Kennzahl ist für die Wohnungswirtschaft jedoch begrenzt, da Anlagenintensität für ein Großteil der Wohnungsunternehmen das Kerngeschäft darstellt. </t>
  </si>
  <si>
    <t xml:space="preserve"> - Vorhandensein von Tätigkeitsbereichen außerhalb der Vermietung
 - Geschäftszweck</t>
  </si>
  <si>
    <t>AV10*100/GK10</t>
  </si>
  <si>
    <t>Grundsatz: Je höher diese Kennzahl, desto höher ist das durchschnittliche Alter der Sachanlagen, desto höher allerdings meistens auch der Investitionsnachholbedarf für Modernisierungen. Bei Inanspruchnahme von überproportionalen Abschreibungssätzen (degr. Afa, a.o.Afa) wird die grundsätzliche Aussage eingeschränkt.</t>
  </si>
  <si>
    <t xml:space="preserve"> - Investitionspolitik
 - Abschreibungsmethoden</t>
  </si>
  <si>
    <t>KA08*100/AK08</t>
  </si>
  <si>
    <t>Theoretisch besagt diese Kennzahl, dass echtes Wachstum erst gegeben ist, wenn über die Abschreibungen hinaus investiert wird. Die Besonderheiten zur Aktivierungspflicht von Instandhaltungsmaßnahmen bei Wohngebäuden machen zusätzlich die Betrachtung der Instandhaltungskosten notwendig, da auch hier ein Großteil der Investitionskosten zu finden ist.</t>
  </si>
  <si>
    <t xml:space="preserve"> - Investitionspolitik 
 - Abschreibungsmethoden</t>
  </si>
  <si>
    <t>AV11*100/AS01</t>
  </si>
  <si>
    <t>Eine Mindestaustattung an Eigenkapital ist erforderlich, damit nicht schon geringe Verluste zu einer Überschuldung und ggf. zur Insolvenz führen. Ansonsten gibt es keine allgemein gültige Quote. Es sollte ein ausgewogenes Verhältnis zwischen Rentabilität und Risiko bestehen (Leverage-Effekt).</t>
  </si>
  <si>
    <t xml:space="preserve"> - Rechtsform
 - Ertragskraft
 - Anteil der Fremdfinanzierung
 - Anteil an aufgestauter Instandhaltung
 - Stille Reserven</t>
  </si>
  <si>
    <t>K02*1000*100/GK10</t>
  </si>
  <si>
    <r>
      <t xml:space="preserve">Eigenmittelquote 
</t>
    </r>
    <r>
      <rPr>
        <sz val="10"/>
        <rFont val="Arial"/>
        <family val="2"/>
      </rPr>
      <t>(Eigenkapital+Rückstellungen für Bauinstandhaltung) x 100 : Gesamtkapital (=Bilanzsumme)</t>
    </r>
  </si>
  <si>
    <t>(K02+RBAU)*100/GK10</t>
  </si>
  <si>
    <t>vgl. gegenläufig die Ausführungen zu K23. Ferner birgt eine hohe Fremdkapitalquote immer die Gefahr von Zinsänderungsrisiken mit nachhaltigen Auswirkungen auf die Ertragskraft sowie die Liquidität.</t>
  </si>
  <si>
    <t xml:space="preserve"> - Ertragskraft und Innenfinanzierungsgrad
 - Finanzierungsmöglichkeiten</t>
  </si>
  <si>
    <t>- Finanzierungskonditionen
- Wahl der Tilgung</t>
  </si>
  <si>
    <t>(ZA01+TI10+ZA03)/(FK10+SL10+SL20)*100</t>
  </si>
  <si>
    <r>
      <t>Möglicher Kapitaldienst</t>
    </r>
    <r>
      <rPr>
        <sz val="10"/>
        <rFont val="Arial"/>
        <family val="2"/>
      </rPr>
      <t xml:space="preserve">
EBITDA : (Lgfr. Objektfinanzierungsmittel + Spareinlagen)</t>
    </r>
  </si>
  <si>
    <t>Vergleich mit der Istannuität K24C &gt; K24B</t>
  </si>
  <si>
    <t>(K06A*1000/(FK10+SL10+SL20)*100</t>
  </si>
  <si>
    <t xml:space="preserve">Dem Anlagendeckungsgrad (K25) sowie dem Kehrwertquotienten der Liquidität (K26) liegen der Grundsatz der Fristenkongruenz zu Grunde: </t>
  </si>
  <si>
    <t xml:space="preserve"> - Finanzierungsverhalten
 - Politik des knappen Geldes</t>
  </si>
  <si>
    <t>(EK10+SP10+LR10+FK10+LV10+SL10)*100/
AV10</t>
  </si>
  <si>
    <t>Liquidität (Zahlungsbereitschaft) ist gewahrt, wenn die Remonetisierung der Vermögensgegenstände mit den Fälligkeitsterminen der Verpflichtungen übereinstimmt.</t>
  </si>
  <si>
    <t xml:space="preserve"> wie K25</t>
  </si>
  <si>
    <t>UV10*100/KV10</t>
  </si>
  <si>
    <r>
      <t xml:space="preserve">Eigenkapitalrentabilität vor Ertragsteuern
</t>
    </r>
    <r>
      <rPr>
        <sz val="10"/>
        <rFont val="Arial"/>
        <family val="2"/>
      </rPr>
      <t xml:space="preserve">Jahresüberschuss bzw. -fehlbetrag </t>
    </r>
    <r>
      <rPr>
        <u/>
        <sz val="10"/>
        <rFont val="Arial"/>
        <family val="2"/>
      </rPr>
      <t>vor</t>
    </r>
    <r>
      <rPr>
        <sz val="10"/>
        <rFont val="Arial"/>
        <family val="2"/>
      </rPr>
      <t xml:space="preserve"> Ertragsteuern x 100 :  Eigenkapital</t>
    </r>
  </si>
  <si>
    <t>Kennzahl zur Beschreibung des Ergebnisses im Verhältnis zum eingesetzten Eigenkapital; Korrektur um Steueraufwand, da Höhe der Ausschüttung direkt den Steueraufwand beeinflusst</t>
  </si>
  <si>
    <t xml:space="preserve"> - Höhe des Jahresüberschusses
 - Finanzierungsstruktur (Eigen-/Fremdkapital)</t>
  </si>
  <si>
    <r>
      <t>Eigenkapitalrentabilität (durchschnittliches Eigenkapita</t>
    </r>
    <r>
      <rPr>
        <sz val="10"/>
        <rFont val="Arial"/>
        <family val="2"/>
      </rPr>
      <t>l)</t>
    </r>
    <r>
      <rPr>
        <b/>
        <sz val="10"/>
        <rFont val="Arial"/>
        <family val="2"/>
      </rPr>
      <t xml:space="preserve"> vor Ertragsteuern</t>
    </r>
    <r>
      <rPr>
        <sz val="10"/>
        <rFont val="Arial"/>
        <family val="2"/>
      </rPr>
      <t xml:space="preserve">
Jahresüberschuss bzw. -fehlbetrag </t>
    </r>
    <r>
      <rPr>
        <u/>
        <sz val="10"/>
        <rFont val="Arial"/>
        <family val="2"/>
      </rPr>
      <t>vor</t>
    </r>
    <r>
      <rPr>
        <sz val="10"/>
        <rFont val="Arial"/>
        <family val="2"/>
      </rPr>
      <t xml:space="preserve"> Ertragsteuern x 100 : durchschnittliches Eigenkapital</t>
    </r>
  </si>
  <si>
    <t>wie K27, durch die Durchschnittsbildung führen umfassende Kapitalveränderungen (z.B. bei Teilverkäufen usw.) im Zeitabgleich nicht zu solch starken Veränderungen.</t>
  </si>
  <si>
    <t xml:space="preserve"> wie K27</t>
  </si>
  <si>
    <r>
      <t>Eigenkapitalrentabilität nach Ertragsteuern</t>
    </r>
    <r>
      <rPr>
        <sz val="10"/>
        <rFont val="Arial"/>
        <family val="2"/>
      </rPr>
      <t xml:space="preserve"> Jahresüberschuss bzw. -fehlbetrag </t>
    </r>
    <r>
      <rPr>
        <u/>
        <sz val="10"/>
        <rFont val="Arial"/>
        <family val="2"/>
      </rPr>
      <t>nach</t>
    </r>
    <r>
      <rPr>
        <sz val="10"/>
        <rFont val="Arial"/>
        <family val="2"/>
      </rPr>
      <t xml:space="preserve"> Ertragsteuern x 100 :  Eigenkapital</t>
    </r>
  </si>
  <si>
    <r>
      <t xml:space="preserve">Eigenkapitalrentabilität (durchschnittliches Eigenkapital) nach Ertragsteuern
</t>
    </r>
    <r>
      <rPr>
        <sz val="10"/>
        <rFont val="Arial"/>
        <family val="2"/>
      </rPr>
      <t xml:space="preserve">Jahresüberschuss bzw. -fehlbetrag </t>
    </r>
    <r>
      <rPr>
        <u/>
        <sz val="10"/>
        <rFont val="Arial"/>
        <family val="2"/>
      </rPr>
      <t>nach</t>
    </r>
    <r>
      <rPr>
        <sz val="10"/>
        <rFont val="Arial"/>
        <family val="2"/>
      </rPr>
      <t xml:space="preserve"> Ertragsteuern x 100 : durchschnittliches Eigenkapital</t>
    </r>
  </si>
  <si>
    <r>
      <t>Eigenmittelrentabilität</t>
    </r>
    <r>
      <rPr>
        <sz val="10"/>
        <rFont val="Arial"/>
        <family val="2"/>
      </rPr>
      <t xml:space="preserve"> 
(Jahresüberschuss bzw. -fehlbetrag </t>
    </r>
    <r>
      <rPr>
        <u/>
        <sz val="10"/>
        <rFont val="Arial"/>
        <family val="2"/>
      </rPr>
      <t>vor</t>
    </r>
    <r>
      <rPr>
        <sz val="10"/>
        <rFont val="Arial"/>
        <family val="2"/>
      </rPr>
      <t xml:space="preserve"> Ertragssteuern) x 100 :  (Eigenkapital + Rückstellung für Bauinstandhaltung)</t>
    </r>
  </si>
  <si>
    <r>
      <t xml:space="preserve">Gesamtkapitalrentabilität vor Ertragsteuern 
</t>
    </r>
    <r>
      <rPr>
        <sz val="10"/>
        <rFont val="Arial"/>
        <family val="2"/>
      </rPr>
      <t xml:space="preserve">(Jahresüberschuss bzw. -fehlbetrag </t>
    </r>
    <r>
      <rPr>
        <u/>
        <sz val="10"/>
        <rFont val="Arial"/>
        <family val="2"/>
      </rPr>
      <t>vor</t>
    </r>
    <r>
      <rPr>
        <sz val="10"/>
        <rFont val="Arial"/>
        <family val="2"/>
      </rPr>
      <t xml:space="preserve"> Ertragsteuern  + Fremdkapitalzinsen) x 100 :  Gesamtkapital </t>
    </r>
  </si>
  <si>
    <t>wie Eigenkapitalrentabilität; soll zusätzlich Einflüsse der Finanzierungsstruktur (Eigen- oder Fremdkapital) eliminieren; insbesondere relevant im externen Vergleich</t>
  </si>
  <si>
    <t xml:space="preserve"> - Höhe des Jahresüberschusses
 - Höhe des Gesamtkapitals</t>
  </si>
  <si>
    <t>(GW10-GW20+ST10+ZA10)*100/GK10</t>
  </si>
  <si>
    <r>
      <t>Gesamtkapitalrentabilität nach Ertragsteuern</t>
    </r>
    <r>
      <rPr>
        <sz val="10"/>
        <rFont val="Arial"/>
        <family val="2"/>
      </rPr>
      <t xml:space="preserve"> 
(Jahresüberschuss bzw. -fehlbetrag </t>
    </r>
    <r>
      <rPr>
        <u/>
        <sz val="10"/>
        <rFont val="Arial"/>
        <family val="2"/>
      </rPr>
      <t>nach</t>
    </r>
    <r>
      <rPr>
        <sz val="10"/>
        <rFont val="Arial"/>
        <family val="2"/>
      </rPr>
      <t xml:space="preserve"> Ertragsteuern + Fremdkapitalzinsen) x 100 :  Gesamtkapital </t>
    </r>
  </si>
  <si>
    <t>(GW10-GW20+ZA10)*100/GK10</t>
  </si>
  <si>
    <t>Rentabilitätskennzahl bezogen auf das gesamte eingesetzte Vermögen/Kapital</t>
  </si>
  <si>
    <t>(GW10-GW20+ST10)*100/GK10</t>
  </si>
  <si>
    <t>wie Eigenkapitalrentabilität (K27); soll durch Verwendung des Cash-Flow als zahlungsorientierte Größe den Einfluss bilanzpolitischer Maßnahmen eliminieren</t>
  </si>
  <si>
    <t xml:space="preserve"> - Höhe des Cash-Flow
 - Finanzierungsstruktur (Eigen-/Fremdkapital)</t>
  </si>
  <si>
    <r>
      <t>finanzw. Eigenkapitalrentabilität (durchschnittliches EK)</t>
    </r>
    <r>
      <rPr>
        <sz val="10"/>
        <rFont val="Arial"/>
        <family val="2"/>
      </rPr>
      <t xml:space="preserve"> 
Cash-Flow x 100 : durchschnittliches Eigenkapital</t>
    </r>
  </si>
  <si>
    <t>wie K30</t>
  </si>
  <si>
    <t>wie finanzwirtschaftliche Eigenkapitalrentabilität; soll durch Verwendung des Cash-Flow als zahlungsorientierte Größe den Einfluss bilanzpolitischer Maßnahmen und zusätzlich den Einfluss der Finanzierungsstruktur eliminieren</t>
  </si>
  <si>
    <t xml:space="preserve"> - Höhe des Cash-Flow
 - Höhe des Gesamtkapitals</t>
  </si>
  <si>
    <t>((K14*1000)+ZA10)*100/GK10</t>
  </si>
  <si>
    <t>(K14C*1000+ZA10)*100/(GK10)</t>
  </si>
  <si>
    <t>finanzwirtschaftliche Rentabilitätskennzahl; soll bilanzpolitische Einflüsse eliminieren</t>
  </si>
  <si>
    <t>(K14*1000*100)/GK10</t>
  </si>
  <si>
    <r>
      <t xml:space="preserve">vereinfachter finanzw. Return on Investment 
</t>
    </r>
    <r>
      <rPr>
        <sz val="10"/>
        <rFont val="Arial"/>
        <family val="2"/>
      </rPr>
      <t>Cash-Flow (verinfacht) x 100 : Gesamtkapital</t>
    </r>
  </si>
  <si>
    <t>K14C*1000*100/(GK10)</t>
  </si>
  <si>
    <t>Kennzahl zur Ermittlung des zahlungswirksamen Anteils aus dem operativen Geschäft</t>
  </si>
  <si>
    <t xml:space="preserve"> - Höhe des Cash-Flow
 - Höhe der Umsatzerlöse</t>
  </si>
  <si>
    <t>(K14*1000*100)/(UE10+UE20+UE30+UE40)</t>
  </si>
  <si>
    <t>K14/K15</t>
  </si>
  <si>
    <t>K14C/K15</t>
  </si>
  <si>
    <t>Kennzahl, in welchem Umfang das bilanzierte Kapital prozentual zu Umsätzen im operativen Geschäft führt</t>
  </si>
  <si>
    <t xml:space="preserve"> - Höhe der Umsätze
 - Höhe des Gesamtkapitals</t>
  </si>
  <si>
    <t>(UE10+UE20+UE30+UE40)*100/GK10</t>
  </si>
  <si>
    <t>Die Kennzahl beziffert den prozentualen Rückfluss des insgesamt eingesetzten Kapitals (auf Basis der Anschaffungs-, Herstellungskosten)</t>
  </si>
  <si>
    <t xml:space="preserve"> - Höhe des Cash-Flow
 - Höhe des Kapitals
 - Alterstruktur des Bestandes
 - Abschreibungsmethoden</t>
  </si>
  <si>
    <t>(K14*1000*100)/(GK10+KA04+KA08)</t>
  </si>
  <si>
    <t>((GW10-GW20+XX28-GR10-XX50
+ST10+AA04+AA03-EA01)+(ZA10
-EZ02-SE02-EW01+AA10+AS04-AS05
+AF10))*100/(GK10+KA04+KA08)</t>
  </si>
  <si>
    <t>Kennzahl, die über die Möglichkeit des Unternehmens, Investitionen aus dem laufenden Geschäft zu finanzieren, Aufschluss gibt</t>
  </si>
  <si>
    <t xml:space="preserve"> - Höhe des Cash-Flow
 - Höhe der Investitionen</t>
  </si>
  <si>
    <t>(K14*1000*100)/AV11</t>
  </si>
  <si>
    <t>K14C*1000*100/AV11</t>
  </si>
  <si>
    <t>wie Innenfinanzierungsgrad I, nach Abzug der planmäßigen Tilgungen</t>
  </si>
  <si>
    <t xml:space="preserve"> - Höhe des Cash-Flow
 - Höhe der Investitionen
 - Höhe der Tilgungen (Finanzierungsstruktur)</t>
  </si>
  <si>
    <t>((K14*1000)-TI10)*100/AV11</t>
  </si>
  <si>
    <t>((K14C*1000)-TI10)*100/AV11</t>
  </si>
  <si>
    <t>Die Kennzahl gibt die Zahl der Jahre an, in denen bei sonst gleichbleibenden Bedingungen die Tilgung der Effektivverschuldung möglich wäre</t>
  </si>
  <si>
    <t xml:space="preserve"> - Höhe des Cash-Flow
 - Höhe der Effektivverschuldung</t>
  </si>
  <si>
    <t>(GK10-EK10-SP10*3/4-UV10)/(K14)</t>
  </si>
  <si>
    <t>(GK10-EK10-SP10*3/4-UV10)/(K14C)</t>
  </si>
  <si>
    <r>
      <t xml:space="preserve">durchschn. Fremdkapitalkostensatz (lgfr.) 
</t>
    </r>
    <r>
      <rPr>
        <sz val="10"/>
        <rFont val="Arial"/>
        <family val="2"/>
      </rPr>
      <t>Fremdkapitalaufwendungen (langfristig) x 100 : langfristiges Fremdkapital (ohne Spareinlagen)</t>
    </r>
  </si>
  <si>
    <t>durchschnittlicher Zinssatz der langfristigen Darlehen</t>
  </si>
  <si>
    <t xml:space="preserve"> - Grad der Erfüllung der Voraussetzungen für ein positives Rating 
   der Banken
 - Darlehensstruktur</t>
  </si>
  <si>
    <t>(ZA01+ZA02)*100/FK10</t>
  </si>
  <si>
    <t>durchschnittlicher Zinssatz der Spareinlagen bei Genossenschaften mit Spareinrichtungen</t>
  </si>
  <si>
    <t xml:space="preserve"> - Kapitalmarktvoraussetzungen
 - eigene Spareinlagenstrategie</t>
  </si>
  <si>
    <t>ZA03*100/SL10</t>
  </si>
  <si>
    <t>(ZA10)*100/(FK10+FK50+SL10+LV10+KV10)</t>
  </si>
  <si>
    <r>
      <t>Durchschnittliche Sollmiete</t>
    </r>
    <r>
      <rPr>
        <sz val="10"/>
        <rFont val="Arial"/>
        <family val="2"/>
      </rPr>
      <t xml:space="preserve">
Sollmieten eigene Einheiten insgesamt :
Summe Wohn-/Nutzfläche insgesamt : 12</t>
    </r>
  </si>
  <si>
    <t>Euro/m²/Mt</t>
  </si>
  <si>
    <t>s. Zusammensetzung</t>
  </si>
  <si>
    <t xml:space="preserve"> - Lage der Wohnungen
 - Baujahr der Wohnungen
 - Ausstattunge der Wohnungen
 - Grad der Modernisierung
 - Aufwandsverzichte wegen Erreichen der Marktmiete</t>
  </si>
  <si>
    <t>UE01/(12*EN10)</t>
  </si>
  <si>
    <r>
      <t>Durchschnittliche Wohnungsmiete</t>
    </r>
    <r>
      <rPr>
        <sz val="10"/>
        <rFont val="Arial"/>
        <family val="2"/>
      </rPr>
      <t xml:space="preserve">
Wohnungssollmieten eigene Einheiten insgesamt : 
Summe Wohnfläche inesgesamt : 12</t>
    </r>
  </si>
  <si>
    <t xml:space="preserve"> wie K40</t>
  </si>
  <si>
    <t>UE05/(12*EN11)</t>
  </si>
  <si>
    <r>
      <t>Durchschnittliche Umlagenerlöse</t>
    </r>
    <r>
      <rPr>
        <sz val="10"/>
        <rFont val="Arial"/>
        <family val="2"/>
      </rPr>
      <t xml:space="preserve">
Gebühren und Umlagen eigene Einheiten insgesamt : 
Summe Wohn-/Nutzfläche insgesamt : 12</t>
    </r>
  </si>
  <si>
    <t>Ein Vergleich mit anderen Marktteilnehmern kann Hinweise auf Marktnachteile geben und ggf. Impulse für ein aktives Betriebskostenmanagement liefern.</t>
  </si>
  <si>
    <t xml:space="preserve"> - Art und Umfang der einzelnen Betriebskosten
 - Die Betriebskosten bestimmenden Strukturdaten (vgl. u.a. auch K40
   sowie z. B. Art Alter von Heizanlagen u. Wwversorgung, technische 
   Ausstattung der Gebäude, z.B. Aufzüge)
 - Verbrauchsverhalten der Mieter
 - differenzierte Preisfestsetzung der Kommunen
 - Anteil evtl. kostengünstigerer Eigenleistungen</t>
  </si>
  <si>
    <t>UE02/(12*EN10)</t>
  </si>
  <si>
    <r>
      <t>Durchschnittliche Mietsubventionen</t>
    </r>
    <r>
      <rPr>
        <sz val="10"/>
        <rFont val="Arial"/>
        <family val="2"/>
      </rPr>
      <t xml:space="preserve">
Mietsubventionen insgesamt : 
Summe Wohnfläche : 12</t>
    </r>
  </si>
  <si>
    <t xml:space="preserve"> - Art der Subventionen (Fördermittel)</t>
  </si>
  <si>
    <t>UE03/(12*EN11)</t>
  </si>
  <si>
    <r>
      <t>Durchschnittliche Erlösschmälerungen</t>
    </r>
    <r>
      <rPr>
        <sz val="10"/>
        <rFont val="Arial"/>
        <family val="2"/>
      </rPr>
      <t xml:space="preserve">
Erlösschmälerungen  Mieten und Umlagen eigene Einheiten : 
Summe Wohn-/Nutzfläche insgesamt : 12</t>
    </r>
  </si>
  <si>
    <t xml:space="preserve"> - Leerstand
 - Mieterfluktuation
 - Modernisierungs-/Sanierungsmaßnahmen
 - vorgesehener Verkauf oder Abbruch</t>
  </si>
  <si>
    <t>(ES11+ES12+ES02)/(12*EN10)</t>
  </si>
  <si>
    <r>
      <t>Durchschnittliche Mietabschreibungen</t>
    </r>
    <r>
      <rPr>
        <sz val="10"/>
        <rFont val="Arial"/>
        <family val="2"/>
      </rPr>
      <t xml:space="preserve">
Abschreibungen und Wertberichtigungen auf Forderungen aus Vermietung eigene Einheiten : 
Summe Wohn-/Nutzfläche insgesamt : 12</t>
    </r>
  </si>
  <si>
    <t xml:space="preserve"> - Wirtschaftliche Verhältnisse der Mieterschaft
 - Mahnwesen
 - Mieteinzugsverfahren
 - Vorhandensein Forderungsmanagement</t>
  </si>
  <si>
    <t>(AM01-SE07)/(12*(EN10))</t>
  </si>
  <si>
    <r>
      <t>Durchschnittliche "kalte" Betriebskosten (Fremdkosten)</t>
    </r>
    <r>
      <rPr>
        <sz val="10"/>
        <rFont val="Arial"/>
        <family val="2"/>
      </rPr>
      <t xml:space="preserve">
(Summe Betriebskosten insgesamt +  Grundsteuern - Heizungskosten (mit Warmwasserkosten)) eigene Einheiten: 
Summe Wohn-/Nutzfläche insgesamt : 12 </t>
    </r>
  </si>
  <si>
    <t xml:space="preserve"> vgl. K40 und K41</t>
  </si>
  <si>
    <t>(BK01+GR10)/(12*(EN10))</t>
  </si>
  <si>
    <r>
      <t>Durchschnittliche Gesamtbetriebskosten (Fremdkosten)</t>
    </r>
    <r>
      <rPr>
        <sz val="10"/>
        <rFont val="Arial"/>
        <family val="2"/>
      </rPr>
      <t xml:space="preserve">
(Summe Betriebskosten insgesamt +  Grundsteuern)  eigene Einheiten: Summe Wohn-/Nutzfläche insgesamt : 12</t>
    </r>
  </si>
  <si>
    <t xml:space="preserve"> wie K41</t>
  </si>
  <si>
    <t>(BK01+HK01+GR10)/(12*(EN10))</t>
  </si>
  <si>
    <r>
      <t>Durchschnittliche Instandhaltungskosten (Fremdkosten)</t>
    </r>
    <r>
      <rPr>
        <sz val="10"/>
        <rFont val="Arial"/>
        <family val="2"/>
      </rPr>
      <t xml:space="preserve">
(Fremdkosten für Instandhaltung - Versicherungserstattungen) eigene Einheiten : Summe Wohn-/Nutzfläche insgesamt : 12</t>
    </r>
  </si>
  <si>
    <t xml:space="preserve"> - Alter der Gebäude
 - Qualität der Bausubstanz
 - Gebäudearten (Hochhaus, Einfamilienhaus)
 - Mieterverhalten (Belegungsstruktur)
 - aperiodische Großreparaturen
 - Finanz- und Ertragslage des Unternehmens
 - Anteil der Eigenleistungen (Regiebetrieb)</t>
  </si>
  <si>
    <t>(IK01-SE03)/(12*(EN10))</t>
  </si>
  <si>
    <r>
      <t>Durchschnittliche Instandhaltungskosten (Fremdkosten)</t>
    </r>
    <r>
      <rPr>
        <sz val="10"/>
        <rFont val="Arial"/>
        <family val="2"/>
      </rPr>
      <t xml:space="preserve">
(Fremdkosten für Instandhaltung - Versicherungserstattungen) eigene Einheiten: Summe Wohn-/Nutzfläche insgesamt </t>
    </r>
  </si>
  <si>
    <t xml:space="preserve"> wie K47</t>
  </si>
  <si>
    <t>(IK01-SE03)/(EN10)</t>
  </si>
  <si>
    <t>Bei vergleichsweise niedrigen Buchwerten: Hinweise auf stille Reserven aber möglicherweise auch auf aufgestauten Instandhaltungsbedarf.</t>
  </si>
  <si>
    <t xml:space="preserve"> - Altersstruktur und Erwerbszeitpunkte der Gebäude
 - Abschreibungsmethoden
 - Aktivierung von Moderiniserungsaufwendungen</t>
  </si>
  <si>
    <t>(AV15+AV16)/EN10</t>
  </si>
  <si>
    <t>Hinweise auf Beleihungsspielräume.</t>
  </si>
  <si>
    <t xml:space="preserve"> - Altersstruktur und Erwerbszeitpunkte der Gebäude
 - Fremdfinanzierung von Modernisierungsmaßnahmen
 - Anteil öffentlicher Förderungsmaßnahmen</t>
  </si>
  <si>
    <t>FK10/EN10</t>
  </si>
  <si>
    <t>(FK10+FK50+SL10+LV10+KV10)/EN10</t>
  </si>
  <si>
    <r>
      <t xml:space="preserve">Durchschnittlicher Gebäudebuchwert </t>
    </r>
    <r>
      <rPr>
        <sz val="10"/>
        <rFont val="Arial"/>
        <family val="2"/>
      </rPr>
      <t xml:space="preserve">
Gebäudebuchwert zu qm Wohn-/Nutzfläche eigene Einheiten</t>
    </r>
  </si>
  <si>
    <t>AV15/EN10</t>
  </si>
  <si>
    <t>3.2. Kennzahlen zur Vermietungssituation</t>
  </si>
  <si>
    <r>
      <t xml:space="preserve">Fluktuationsrate Mietwohnungen
</t>
    </r>
    <r>
      <rPr>
        <sz val="10"/>
        <rFont val="Arial"/>
        <family val="2"/>
      </rPr>
      <t>Anzahl der Kündigungen und andere Auflösungen von Mietverhältnissen des Geschäftsjahres x 100 : 
gesamter Bestand an Mietwohnungen des Geschäftsjahres</t>
    </r>
  </si>
  <si>
    <t>Steigende Wohnungskündigungen führen zu höhe-rem Verwaltungsaufwand (Abnahme von Wohnun-gen, Wiedervermietung). Es besteht die Gefahr der fehlenden Anschlussvermietung mit den damit ver-bunden Ertragsausfällen. Ferner gehen Wohnungs-kündigungen i.d.R. mit höheren Instandhaltungs-kosten einher.</t>
  </si>
  <si>
    <t xml:space="preserve"> - Höhe der Summe aus Mieten und Umlagen (Gesamtbelastung 
   der Mieter)
 - Lage der Wohnungen
 - Größe der Wohnungen
 - Mieterstruktur (Alter, Einkommen)</t>
  </si>
  <si>
    <t>Eine Kennzahl über 100% deutet auf eine sinkende Leerstandsquote.</t>
  </si>
  <si>
    <t xml:space="preserve"> vgl. K49 bis K55</t>
  </si>
  <si>
    <t>MW11*100/MW10</t>
  </si>
  <si>
    <r>
      <t xml:space="preserve">Leerstandsquote Mietwohnungen
</t>
    </r>
    <r>
      <rPr>
        <sz val="10"/>
        <rFont val="Arial"/>
        <family val="2"/>
      </rPr>
      <t xml:space="preserve">Durchschnittsbestand leerstehender Vermietungseinheiten pro Jahr x 100 : </t>
    </r>
    <r>
      <rPr>
        <b/>
        <sz val="10"/>
        <rFont val="Arial"/>
        <family val="2"/>
      </rPr>
      <t xml:space="preserve">
</t>
    </r>
    <r>
      <rPr>
        <sz val="10"/>
        <rFont val="Arial"/>
        <family val="2"/>
      </rPr>
      <t>gesamter Bestand an Mietwohnungen des Geschäftsjahres</t>
    </r>
  </si>
  <si>
    <t>Hohe Leerstände beeinflussen die Ertragskraft des Unternehmens und damit dessen Potential für Investitionen (vgl. a. K22, K47 und K48). Allerdings sind die Gründe für Leerstand unterschiedlich zu bewerten vgl. K51 bis K55.</t>
  </si>
  <si>
    <t xml:space="preserve"> vgl. K51 bis K55</t>
  </si>
  <si>
    <r>
      <t xml:space="preserve">Leerstandsquote (Modernisierung) Mietwohnungen
</t>
    </r>
    <r>
      <rPr>
        <sz val="10"/>
        <rFont val="Arial"/>
        <family val="2"/>
      </rPr>
      <t>Durchschnittsbestand leerstehende Vermietungseinheiten auf Grund von Modernisierungsmaßnahmen pro Jahr x 100 : 
gesamter Bestand an Mietwohnungen des Geschäftsjahres</t>
    </r>
  </si>
  <si>
    <t xml:space="preserve"> - Art, Umfang und Durchführungsweg der Modernisierungs-
   maßnahmen</t>
  </si>
  <si>
    <r>
      <t xml:space="preserve">Leerstandsquote (Abriss) Mietwohnungen
</t>
    </r>
    <r>
      <rPr>
        <sz val="10"/>
        <rFont val="Arial"/>
        <family val="2"/>
      </rPr>
      <t>Durchschnittsbestand leerstehende Vermietungseinheiten auf Grund von Abrissmaßnahmen pro Jahr x 100 : 
gesamter Bestand an Mietwohnungen des Geschäftsjahres</t>
    </r>
  </si>
  <si>
    <t xml:space="preserve"> - Zustand der Teilmärkte der Region
 - Förderungmaßnahmen der Kommunen von Abriss
 - Gebäudeverschleiß</t>
  </si>
  <si>
    <r>
      <t xml:space="preserve">Leerstandsquote (Verkäufe) Mietwohnungen
</t>
    </r>
    <r>
      <rPr>
        <sz val="10"/>
        <rFont val="Arial"/>
        <family val="2"/>
      </rPr>
      <t>Durchschnittsbestand leerstehende Vermietungseinheiten auf Grund von Verkäufen pro Jahr x 100 : 
gesamter Bestand an Mietwohnungen des Geschäftsjahres</t>
    </r>
  </si>
  <si>
    <t xml:space="preserve"> - Dürchführungsweg des Verkaufs 
 - Gründe der Notwendigkeit zum Verkauf</t>
  </si>
  <si>
    <r>
      <t xml:space="preserve">Leerstandsquote (Vermietungsschwierigkeiten) Mietwohnungen
</t>
    </r>
    <r>
      <rPr>
        <sz val="10"/>
        <rFont val="Arial"/>
        <family val="2"/>
      </rPr>
      <t>Durchschnittsbestand leerstehende Vermietungseinheiten auf Grund von Vermietungsschwierigkeiten pro Jahr x 100 : 
gesamter Bestand an Mietwohnungen des Geschäftsjahres</t>
    </r>
  </si>
  <si>
    <t xml:space="preserve"> - Zustand der Teilmärkte der Region
 - Gebäudesubstanz und Ausstattung der Wohnungen
 - Modernisierungsgrad der Gebäude
 - Höhe der Miete und/oder der Betriebskosten
 - Fluktuationsrate (vgl. K49)</t>
  </si>
  <si>
    <r>
      <t xml:space="preserve">Leerstandsquote (Stilllegung) Mietwohnungen
</t>
    </r>
    <r>
      <rPr>
        <sz val="10"/>
        <rFont val="Arial"/>
        <family val="2"/>
      </rPr>
      <t>Durchschnittsbestand leerstehende Vermietungseinheiten auf Grund von Stillegung pro Jahr x 100 : 
gesamter Bestand an Mietwohnungen des Geschäftsjahres</t>
    </r>
  </si>
  <si>
    <t xml:space="preserve"> vgl. K52</t>
  </si>
  <si>
    <t>1.1. Strukturkennzahlen je m² Wohn- / Nutzfläche und Monat</t>
  </si>
  <si>
    <t>Verluste (Betriebskosten) und entgangene Einnahmen (Sollmieten) des Unternehmens aus leerstehenden WE bezogen auf die m²-Wohn-/Nutzfläche monatlich</t>
  </si>
  <si>
    <t xml:space="preserve"> - Bevölkerungsentwicklung
 - Wohnungsüberhang am Wohnungsteilmarkt (i.d.R. Kommune)
 - Mieterfluktuation
 - geplanter Verkauf/Abriss
 - geplante und aktuell durchgeführte Modernisierungen/Sanierungen
 - kurzfristige Mietnachlässe</t>
  </si>
  <si>
    <r>
      <t>Abschreibungsquote Mietforderungen</t>
    </r>
    <r>
      <rPr>
        <sz val="10"/>
        <rFont val="Arial"/>
        <family val="2"/>
      </rPr>
      <t xml:space="preserve">
Abschreibungen und Wertberichtigungen auf Forderungen aus Vermietung : 
Summe Wohn-/Nutzfläche insgesamt : 12</t>
    </r>
  </si>
  <si>
    <t>Verluste durch Forderungsausfälle bezogen auf die m²-Wohn-/Nutzfläche monatlich</t>
  </si>
  <si>
    <t xml:space="preserve"> - Wirtschaftliche Verhältnisse der Mieterschaft
 - Soziales Umfeld
 - Größe der Genossenschaft/Anonymität des einzelnen Mieters
 - Mahnwesen
 - Mieteinzugsverfahren</t>
  </si>
  <si>
    <t>AM01/(12*EN10)</t>
  </si>
  <si>
    <r>
      <t>Instandhaltungskostensatz (mit Verwaltungskosten)</t>
    </r>
    <r>
      <rPr>
        <sz val="10"/>
        <rFont val="Arial"/>
        <family val="2"/>
      </rPr>
      <t xml:space="preserve">
(Summe Instandhaltungskosten insgesamt + Regiebetriebskosten + anteil. Personal- und Sachaufwand (betreffend Instandhaltung)) : 
Summe Wohn-/Nutzfläche insgesamt : 12</t>
    </r>
  </si>
  <si>
    <t>Instandhaltungsaufwand bezogen auf die m²-Wohn-/Nutzfläche monatlich</t>
  </si>
  <si>
    <t xml:space="preserve"> - Alter der Gebäude
 - Qualität der Bausubstanz
 - Sanierungsgrad der Gebäude
 - Mieterverhalten
 - aperiodische Großreparaturen
 - Finanz- und Ertragslage des Unternehmens
 - ggf. Kostenstruktur des Regiebetriebs</t>
  </si>
  <si>
    <t>(IK01+BA21-SE03)/(12*EN10)</t>
  </si>
  <si>
    <r>
      <t>Instandhaltungskostensatz jährlich (mit Verwaltungskosten)</t>
    </r>
    <r>
      <rPr>
        <sz val="10"/>
        <rFont val="Arial"/>
        <family val="2"/>
      </rPr>
      <t xml:space="preserve">
(Summe Instandhaltungskosten insgesamt + Regiebetriebskosten + anteil. Personal- und Sachaufwand (betreffend Instandhaltung)) : 
Summe Wohn-/Nutzfläche insgesamt</t>
    </r>
  </si>
  <si>
    <t>(IK01+BA21-SE03)/EN10</t>
  </si>
  <si>
    <r>
      <t>planmäßige Abschreibung auf Sachanlagen der Hausbewirtschaftung</t>
    </r>
    <r>
      <rPr>
        <sz val="10"/>
        <rFont val="Arial"/>
        <family val="2"/>
      </rPr>
      <t xml:space="preserve">
Planmäßige Abschreibungen der Hausbewirtschaftung auf Sachanlagen insges. (ohne Abschreibungen für BAB) : 
Summe Wohn-/Nutzfläche insgesamt : 12</t>
    </r>
  </si>
  <si>
    <t>handelsrechtliche planmäßige Absetzungen für Abnutzung bezogen auf die m²-Wohn-/Nutzfläche monatlich</t>
  </si>
  <si>
    <t xml:space="preserve"> - Alter der Gebäude
 - Sanierungsgrad der Gebäude
 - Aktivierungsverhalten
 - Abschreibungsmethoden
</t>
  </si>
  <si>
    <t>AH01/(12*EN10)</t>
  </si>
  <si>
    <r>
      <t>Fremdkapitalzinsen Hausbewirtschaftung</t>
    </r>
    <r>
      <rPr>
        <sz val="10"/>
        <rFont val="Arial"/>
        <family val="2"/>
      </rPr>
      <t xml:space="preserve">
(Fremdkapitalaufwendungen (langfristig) und Erbbauzinsaufw. für Vermietungsobjekte) : 
Summe Wohn-/Nutzfläche insgesamt : 12</t>
    </r>
  </si>
  <si>
    <t>Fremdkapitalaufwendungen (insb. Zinsen für Dauerfinanzierungsmittel (Darlehen)) bezogen auf die m²-Wohn-/Nutzfläche monatlich</t>
  </si>
  <si>
    <t xml:space="preserve"> - Sanierungsstand der Gebäude
 - vorhandene Eigenmittel für Sanierungen
 - erhaltene Fördermittel für Wohnungsbau
 - Zinszuschüsse
 - Zinsfestschreibungspraxis (i.d.R. 5 oder 10 J.)
 - Mittelaufnahme in Hoch- oder Niedrigzinsphase</t>
  </si>
  <si>
    <t>(ZH10+EZ01)/(12*EN10)</t>
  </si>
  <si>
    <r>
      <t>Verwaltungskostenquote für eigene Einheiten</t>
    </r>
    <r>
      <rPr>
        <sz val="10"/>
        <rFont val="Arial"/>
        <family val="2"/>
      </rPr>
      <t xml:space="preserve">
Anteiliger Personal- und Sachaufwand für Verwaltung (Verwaltungskosten der Hausbewirtschaftung) : 
Summe Wohn-/Nutzfläche insgesamt : 12</t>
    </r>
  </si>
  <si>
    <t>Verwaltungsaufwand bezogen auf die m²-Wohn-/Nutzfläche monatlich; wird jedoch i.d.R. als Verwaltungsaufwand je VE ermittelt -&gt; siehe auch Z 23 bis Z25</t>
  </si>
  <si>
    <t xml:space="preserve"> - Gehaltsstruktur
 - Betriebsorganisation
 - mehrere räumlich getrennte Geschäftsstellen
 - Altersstruktur der Mitarbeiter
 - Qualifikation der Mitarbeiter
 - Lage und Art der Mietobjekte (z.B. nur Ein- und Zweifamilienhäuser
   in mehreren Kommunen)
</t>
  </si>
  <si>
    <t>BA14/(12*EN10)</t>
  </si>
  <si>
    <r>
      <t xml:space="preserve">Wirtschaftliches Ergebnis Hausbewirtschaftung
</t>
    </r>
    <r>
      <rPr>
        <sz val="10"/>
        <rFont val="Arial"/>
        <family val="2"/>
      </rPr>
      <t>Wirtschaftliches Ergebnis der Hausbewirtschaftung : 
Summe Wohn-/Nutzfläche insgesamt : 12</t>
    </r>
  </si>
  <si>
    <t>Saldo zwischen Erträgen und Aufwendungen der reinen Wohnungsbewirtschaftung bezogen auf die m²-Wohn-/Nutzfläche monatlich; ohne sonstige Geschäftsbereiche wie WEG-Verwaltung oder Baubetreuung</t>
  </si>
  <si>
    <t xml:space="preserve"> - Mietniveau
 - Leerstandquote
 - Instandhaltungskosten
 - Verwaltungskosten
 - Finanzierung des Bestands -&gt; Zinsaufwand
 - Abschreibungsverhalten</t>
  </si>
  <si>
    <t>(UE10-UE04+BV10+SE03+SE07+SE09-AH10+PA01-BA22-BA23-BA21-AH01-AM01-XX60-ZH10-GR10-BA14)/(12*EN10)</t>
  </si>
  <si>
    <r>
      <t>Geldrechnungsmäßiges Ergebnis Hausbewirtschaftung</t>
    </r>
    <r>
      <rPr>
        <sz val="10"/>
        <rFont val="Arial"/>
        <family val="2"/>
      </rPr>
      <t xml:space="preserve">
Geldrechnungsmäßiges Ergebnis der  Hausbewirtschaftung : 
Summe Wohn-/Nutzfläche insgesamt : 12</t>
    </r>
  </si>
  <si>
    <t>Saldo zwischen Einnahmen und Ausgaben der reinen Wohnungsbewirtschaftung bezogen auf die m²-Wohn-/Nutzfläche monatlich; i.d.R. wirtschaftliches Ergebnis der Hausbewirtschaftung zzgl. Abschreibungen abzgl. Tilgungen</t>
  </si>
  <si>
    <t xml:space="preserve"> - Mietniveau
 - Leerstandquote
 - Instandhaltungskosten
 - Verwaltungskosten
 - Finanzierung des Bestands -&gt; Zinsaufwand
 - Tilgungsverhalten</t>
  </si>
  <si>
    <t>(UE10-UE04+BV10+SE03+SE07+SE09-AH10+PA01-BA22-BA23-BA21-TI10-AM01-XX60-ZH10-GR10-BA14)/(12*EN10)</t>
  </si>
  <si>
    <t>1.2. Strukturkennzahlen in % der Sollmieten</t>
  </si>
  <si>
    <r>
      <t>Erlössschmälerungsquote</t>
    </r>
    <r>
      <rPr>
        <sz val="10"/>
        <rFont val="Arial"/>
        <family val="2"/>
      </rPr>
      <t xml:space="preserve">
Erlösschmälerungen betreffend Mieten und Umlagen des Geschäftsjahres in % der Sollmieten</t>
    </r>
  </si>
  <si>
    <t>relative Ausfallquote der Umsatzerlöse aus Sollmieten durch Betriebskosten- und Sollmietenausfälle</t>
  </si>
  <si>
    <t xml:space="preserve"> - Bevölkerungsentwicklung
 - Wohnungsüberhang am Wohnungsteilmarkt (i.d.R. Kommune)
 - Mieterfluktuation
 - geplanter Verkauf/Abriss
 - geplante und aktuell durchgeführte Modernisierungen/Sanierungen
 - kurzfristige Mietnachlässe
 - Ausfall vorrangig in welchem Mietsegment (gehobenes, mittleres 
   bzw. unteres Mietniveau)</t>
  </si>
  <si>
    <t>(ES11+ES12+ES02)*100/(UE01+UE02)</t>
  </si>
  <si>
    <r>
      <t>Maßnahmenbedingte Erlössschmälerungsquote</t>
    </r>
    <r>
      <rPr>
        <sz val="10"/>
        <rFont val="Arial"/>
        <family val="2"/>
      </rPr>
      <t xml:space="preserve">
Maßnahmebedingte Erlösschmälerungen nur betreffend  Mieten des Geschäfts-jahres in % der Sollmieten
(d.h.: gewollte, geplante Leerstände durch Abriss, Verkauf, Umbau, Modernisierung, Instandsetzung u.ä.m) </t>
    </r>
  </si>
  <si>
    <t>relative Ausfallquote der Umsatzerlöse aus Sollmieten durch Betriebskosten- und Sollmietenausfälle, jedoch nur sanierungsmaßnahmenbedingt</t>
  </si>
  <si>
    <t xml:space="preserve"> - geplante und aktuelle durchgeführte Modernisierungen/Sanierungen
 - kurzfristige Mietnachlässe für Beeinträchtigungen durch Sanierung
 - Ausfall vorrangig in welchem Mietsegment? (gehobenes, mittleres 
   bzw. unteres Wohnniveau)</t>
  </si>
  <si>
    <t>ES12*100/UE01</t>
  </si>
  <si>
    <r>
      <t>Abschreibungsquote (Mietforderungen)</t>
    </r>
    <r>
      <rPr>
        <sz val="10"/>
        <rFont val="Arial"/>
        <family val="2"/>
      </rPr>
      <t xml:space="preserve">
Abschreibungen und Wertberichtigungen  des Geschäftsjahres auf  Forderungen aus Vermietung in % der Sollmieten</t>
    </r>
  </si>
  <si>
    <t>relative Ausfallquote der Umsatzerlöse aus Sollmieten durch Forderungsausfälle</t>
  </si>
  <si>
    <t>AM01*100/UE01</t>
  </si>
  <si>
    <r>
      <t>Instandhaltungskostenquote</t>
    </r>
    <r>
      <rPr>
        <sz val="10"/>
        <rFont val="Arial"/>
        <family val="2"/>
      </rPr>
      <t xml:space="preserve">
Summe Instandhaltungskosten insgesamt +  Regiebetriebskosten + anteil. Personal- und Sachaufwand (betreffend Instandhaltung) in % der Sollmieten</t>
    </r>
  </si>
  <si>
    <t>relativer Verbrauch der Sollmieten für lfd. Instandsetzungsarbeiten; stark durch aperiodische Instandsetzungsmaßnahmen insb. bei kleineren Wohnungsunternehmen geprägt</t>
  </si>
  <si>
    <t>(IK01+IK02-SE03)*100/UE01</t>
  </si>
  <si>
    <r>
      <t>Abschreibungsquote (Sachanlagen)</t>
    </r>
    <r>
      <rPr>
        <sz val="10"/>
        <rFont val="Arial"/>
        <family val="2"/>
      </rPr>
      <t xml:space="preserve">
Planmäßige Abschreibungen der Hausbewirtschaftung auf Sachanlagen insgesamt (ohne Abschreibungen für BAB) in % der Sollmieten</t>
    </r>
  </si>
  <si>
    <t>Relation der planmäßigen handelsrechtlichen Abschreibungen zu den Sollmieten</t>
  </si>
  <si>
    <t>AH01*100/UE01</t>
  </si>
  <si>
    <t>Diese Relation lässt langfristig erkennen, inwieweit durch planmäßige Abschreibung stille Reserven zu Lasten des Gewinns (Quote steigt) gebildet werden.</t>
  </si>
  <si>
    <t>AH01*100/AV15</t>
  </si>
  <si>
    <r>
      <t>Zinsdeckung</t>
    </r>
    <r>
      <rPr>
        <sz val="10"/>
        <rFont val="Arial"/>
        <family val="2"/>
      </rPr>
      <t xml:space="preserve">
Fremdkapitalaufwendungen (langfristig) +  Erbbauzinsaufwand für Vermietungsobjekte in % der Sollmieten</t>
    </r>
  </si>
  <si>
    <t>relativer Verbrauch der Sollmieten für Fremdkapitalaufwendungen (insb. Zinsen für Dauerfinanzierungsmittel (Darlehen))</t>
  </si>
  <si>
    <t>(ZH10+EZ01)*100/UE01</t>
  </si>
  <si>
    <r>
      <t xml:space="preserve">Kapitaldienstdeckung
</t>
    </r>
    <r>
      <rPr>
        <sz val="10"/>
        <rFont val="Arial"/>
        <family val="2"/>
      </rPr>
      <t>Kapitaldienst (+Disagioauflösung) auf Objektfinanzierungsmittel +Erbauzinsen in % der Sollmieten einschließlich Zuschüssen</t>
    </r>
  </si>
  <si>
    <t>relativer Verbrauch der Sollmieten für Zahlungsverpflichtungen aus Fremdfinanzierungen</t>
  </si>
  <si>
    <t xml:space="preserve"> - Sanierungsstand der Gebäude
 - vorhandene Eigenmittel für Sanierungen
 - erhaltene Fördermittel für Wohnungsbau
 - Zinszuschüsse
 - Zinsfestschreibungspraxis (i.d.R. 5 oder 10 J.)
 - Mittelaufnahme in Hoch- oder Niedrigzinsphase
 - Tilgungsverhalten</t>
  </si>
  <si>
    <t>(ZH10+TI10+EZ01)*100/(UE01+UE03)</t>
  </si>
  <si>
    <r>
      <t>eigene Verwaltungskostenquote</t>
    </r>
    <r>
      <rPr>
        <sz val="10"/>
        <rFont val="Arial"/>
        <family val="2"/>
      </rPr>
      <t xml:space="preserve">
Anteiliger Personal- und Sachaufwand für Verwaltung (Verwaltungskosten der Hausbewirtschaftung) in % der Sollmieten</t>
    </r>
  </si>
  <si>
    <t>relativer Verbrauch der Sollmieten für Verwaltungskosten</t>
  </si>
  <si>
    <t xml:space="preserve"> - Gehaltsstruktur
 - Betriebsorganisation
 - mehrere räumlich getrennte Geschäftsstellen
 - Altersstruktur der Mitarbeiter
 - Qualifikation der Mitarbeiter
 - Lage und Art der Mietobjekte (z.B. nur Mehrfamilienhäuser in einer 
   Kommune)
</t>
  </si>
  <si>
    <t>BA14*100/UE01</t>
  </si>
  <si>
    <r>
      <t>Wirtschaftliches Ergebnis Hausbewirtschaftung</t>
    </r>
    <r>
      <rPr>
        <sz val="10"/>
        <rFont val="Arial"/>
        <family val="2"/>
      </rPr>
      <t xml:space="preserve">
Wirtschaftliches Ergebnis der Hausbewirtschaftung in % der Sollmieten einschließlich Mietsubventionen</t>
    </r>
  </si>
  <si>
    <t>Relation, welcher Teil der Sollmieten dem Unternehmen nach den lfd. Aufwendungen als handelsrechtliches Ergebnis verbleibt</t>
  </si>
  <si>
    <t xml:space="preserve"> - Leerstandquote
 - Instandhaltungskosten
 - Verwaltungskosten
 - Finanzierung des Bestands -&gt; Zinsaufwand
 - Abschreibungsverhalten</t>
  </si>
  <si>
    <t>(UE10-UE04+BV10+SE03+SE07+SE09-AH10+PA01-BA22-BA23-BA21-AH01-AM01-XX60-ZH10-GR10-BA14)*100/(UE01+UE03)</t>
  </si>
  <si>
    <r>
      <t>Geldrechnungsmäßiges Ergebnis Hausbewirtschaftung</t>
    </r>
    <r>
      <rPr>
        <sz val="10"/>
        <rFont val="Arial"/>
        <family val="2"/>
      </rPr>
      <t xml:space="preserve">
Geldrechnungsmäßiges Ergebnis Hausbewirtschaft in Prozent der Sollmieten einschließlich Mietsubventionen</t>
    </r>
  </si>
  <si>
    <t>Relation, welcher Teil der Sollmieten dem Unternehmen nach den lfd. Ausgaben als Mittelzufluss verbleibt; i.d.R. wirtschaftliches Ergebnis der Hausbewirtschaftung zzgl. Abschreibungen abzgl. Tilgungen</t>
  </si>
  <si>
    <t xml:space="preserve"> - Leerstandquote
 - Instandhaltungskosten
 - Verwaltungskosten
 - Finanzierung des Bestands -&gt; Zinsaufwand
 - Tilgungsverhalten</t>
  </si>
  <si>
    <t>(UE10-UE04+BV10+SE03+SE07+SE09-AH10+PA01-BA22-BA23-BA21-TI10-AM01-XX60-ZH10-GR10-BA14)*100/(UE01+UE03)</t>
  </si>
  <si>
    <t>Relation, welche angibt, wieviel % der Istmiete für Zinsen vom WU ausgegeben wird</t>
  </si>
  <si>
    <t xml:space="preserve"> - zu niedriges/hohes Zinsniveau gegenüber den marktüblichen
   Zinssätzen
 - Höhe der Istmiete</t>
  </si>
  <si>
    <t>(ZH10+EZ01)*100/(UE01+UE03-ES11-ES12)</t>
  </si>
  <si>
    <t>Relation, welche angibt, wieviel % der Istmiete für Zinsen + Tilgung (Annuität) vom WU ausgegeben wird</t>
  </si>
  <si>
    <t xml:space="preserve"> - zu niedriges/hohes Zinsniveau gegenüber den marktüblichen
   Zinssätzen
 - Höhe der vereinbarten Tilgungssätze
 - Höhe der Istmiete</t>
  </si>
  <si>
    <t>(ZH10+TI10+EZ01)*100/
(UE01+UE03-ES11-ES12)</t>
  </si>
  <si>
    <t>Diese Relation entstammt aus einer überschlägigen Wertermittlung für Wohngebäude. Liegt bspw. der marktübliche Wert beim 10fachen der Jahresmiete, sollte diese Kennzahl nicht unter 10% liegen, ansonsten ist dieses ein Hinweis auf eine Überbewertung. Die Durchschnittswerte des Teilmarkts für Immobilien sind hierbei eine entscheidende Vergleichsgröße.</t>
  </si>
  <si>
    <t xml:space="preserve"> - Abschreibungsstrategie
 - Höhe der Istmiete</t>
  </si>
  <si>
    <t>(UE01+UE03-ES11-ES12)*100/(AV15+AV16)</t>
  </si>
  <si>
    <t>(AV15+AV16)/(UE01+UE03-ES11-ES12)</t>
  </si>
  <si>
    <r>
      <t>Durchschnittliche Personalkosten/Verwaltungsmitarbeiter</t>
    </r>
    <r>
      <rPr>
        <sz val="10"/>
        <rFont val="Arial"/>
        <family val="2"/>
      </rPr>
      <t xml:space="preserve">
Summe persönlicher Kosten aktiver Beschäftigter (ohne Regie/Hauswarte) : 
Summe (akt.) Personalbestand (ohne Regie/Hauswarte)</t>
    </r>
  </si>
  <si>
    <t>Euro/Mitarb.</t>
  </si>
  <si>
    <t>Diese Kennzahl gibt die Personalkosten an, die das Unternehmen durchschnittlich für einen Arbeitnehmer der Verwaltung ausgibt. Im Zeitablauf betrachtet, könnte diese Kennzahl ein Indiz für eine sich verändernde Ertragskraft des Unternehmens sein (Betrachtung zur Veränderung der Gesamtleistung notwendig). Verzerrungen ergeben sich daraus, dass Geringverdiener sowie Vorstände/Geschäftsführer gleichermaßen in die Kennzahl eingehen. Bei den Auszubildenden wird dieser Effekt dadurch entschärft, dass diese nur zu 30 % in die Berechnung eingehen.</t>
  </si>
  <si>
    <r>
      <t xml:space="preserve">Ein hohes durchschnittliches Einkommen kann folgende Hinweise geben: 
</t>
    </r>
    <r>
      <rPr>
        <b/>
        <sz val="10"/>
        <rFont val="Arial"/>
        <family val="2"/>
      </rPr>
      <t>Negativ:</t>
    </r>
    <r>
      <rPr>
        <sz val="10"/>
        <rFont val="Arial"/>
        <family val="2"/>
      </rPr>
      <t xml:space="preserve"> Das Gehaltsniveau könnte insgesamt oder bei bestimmten Beschäftigtengruppen zu hoch sein. 
</t>
    </r>
    <r>
      <rPr>
        <b/>
        <sz val="10"/>
        <rFont val="Arial"/>
        <family val="2"/>
      </rPr>
      <t>Gegenmaßnahmen:</t>
    </r>
    <r>
      <rPr>
        <sz val="10"/>
        <rFont val="Arial"/>
        <family val="2"/>
      </rPr>
      <t xml:space="preserve"> Maßvolle Personalfreisetzungen, ohne Stimmungsverschlechterungen in der übrigen Belegschaft zu provozieren. Bei natürlichen Fluktuationen (Kündigung seitens der Arbeitnehmer, Ausscheiden aus Altersgründen) Ressourcenallokation neu überdenken und bei ggf. notwendiger Neueinstellung geringeres Gehaltsniveau vereinbaren. Einführung neuer Entlohnungskomponenten (z. B. Prämienlöhne für leitende Angestellte; vgl. auch Möglichkeiten zu erfolgs- und leitungsorientierten Vergütungsbestandteilen im Tarifvertrag der Wohnungswirtschaft) 
</t>
    </r>
    <r>
      <rPr>
        <b/>
        <sz val="10"/>
        <rFont val="Arial"/>
        <family val="2"/>
      </rPr>
      <t>Positiv:</t>
    </r>
    <r>
      <rPr>
        <sz val="10"/>
        <rFont val="Arial"/>
        <family val="2"/>
      </rPr>
      <t xml:space="preserve"> Das Gehaltsniveau spiegelt tendenziell die Leistungsfähigkeit der Belegschaft wider. Je besser die Arbeitskräfte qualifiziert sind, desto produktiver können sie arbeiten, um so höher müssen sie allerdings bezahlt werden. Hier muss unbedingt eine Untersuchung der Produktivität der Belegschaft anknüpfen.</t>
    </r>
  </si>
  <si>
    <t>(LG10-LG20-LG09-BA34)/(PB10-PB04-PB05)</t>
  </si>
  <si>
    <t>(LG10-BA34)/PB10</t>
  </si>
  <si>
    <t>(UE10+UE20+UE30+UE40)/PB10</t>
  </si>
  <si>
    <r>
      <t>Durchschnittliche Sachkosten/Verwaltungsmitarbeiter</t>
    </r>
    <r>
      <rPr>
        <sz val="10"/>
        <rFont val="Arial"/>
        <family val="2"/>
      </rPr>
      <t xml:space="preserve">
Summe sächlicher Kosten (ohne Regie/Hauswarte) : 
Summe (akt.) Personalbestand (ohne Regie/Hauswarte)</t>
    </r>
  </si>
  <si>
    <t>Euro/
Mitarb.</t>
  </si>
  <si>
    <t xml:space="preserve">Die Kennzahl gibt an, wie viel Sachkosten im Durchschnitt pro Verwaltungsangestellten im Jahr anfallen. Im Zeitablauf betrachtet, könnte diese Kennzahl ein Indiz für eine sich verändernde Ertragskraft das Unternehmens sein (Betrachtung zur Veränderung der Gesamtleistung notwendig). </t>
  </si>
  <si>
    <r>
      <t xml:space="preserve">Hohe durchschnittliche Sachkosten können folgende Hinweise geben: 
</t>
    </r>
    <r>
      <rPr>
        <b/>
        <sz val="10"/>
        <rFont val="Arial"/>
        <family val="2"/>
      </rPr>
      <t>Negativ:</t>
    </r>
    <r>
      <rPr>
        <sz val="10"/>
        <rFont val="Arial"/>
        <family val="2"/>
      </rPr>
      <t xml:space="preserve"> Verschwenderischer Ressourcenumgang seitens der Belegschaft, zu teure Beschaffung. 
</t>
    </r>
    <r>
      <rPr>
        <b/>
        <sz val="10"/>
        <rFont val="Arial"/>
        <family val="2"/>
      </rPr>
      <t>Gegenmaßnahmen:</t>
    </r>
    <r>
      <rPr>
        <sz val="10"/>
        <rFont val="Arial"/>
        <family val="2"/>
      </rPr>
      <t xml:space="preserve"> Belegschaft zum ressourcensparenden Arbeiten anhalten (ggf. unterstützt durch Prämienzahlungen bei Erreichen eines vorgegebenen Zielwertes) Erhöhung der Unternehmensidentifikation Beschaffungsmanagement anpassen 
</t>
    </r>
    <r>
      <rPr>
        <b/>
        <sz val="10"/>
        <rFont val="Arial"/>
        <family val="2"/>
      </rPr>
      <t>Positiv:</t>
    </r>
    <r>
      <rPr>
        <sz val="10"/>
        <rFont val="Arial"/>
        <family val="2"/>
      </rPr>
      <t xml:space="preserve"> Ein hohes Sachkostenniveau muss immer im Zusammenhang mit der daraus erwirtschafteten Gesamtleistung gesehen werden</t>
    </r>
  </si>
  <si>
    <t>(BA09-BA08)/(PB10-PB04-PB05)</t>
  </si>
  <si>
    <r>
      <t>Durchschnittliche Verwaltungskosten/Verwaltungsmitarbeiter</t>
    </r>
    <r>
      <rPr>
        <sz val="10"/>
        <rFont val="Arial"/>
        <family val="2"/>
      </rPr>
      <t xml:space="preserve">
(Summe persönlicher + sächlicher Kosten akt. Beschäftigter (ohne Regie/Hauswarte)) : 
Summe (akt.) Personalbestand (ohne Regie/Hauswarte)</t>
    </r>
  </si>
  <si>
    <t>Kombination aus Z19 und Z20; s. dort</t>
  </si>
  <si>
    <t>(LG10-BA34-LG20-LG09+BA09-BA08)/(PB10-PB04-PB05)</t>
  </si>
  <si>
    <r>
      <t xml:space="preserve">Durchschnittliche Altersversorgung/Verwaltungsmitarbeiter </t>
    </r>
    <r>
      <rPr>
        <sz val="10"/>
        <rFont val="Arial"/>
        <family val="2"/>
      </rPr>
      <t xml:space="preserve">
Summe Aufwand für Altersversorgung (ohne Regie/Hauswarte) insgesamt : 
Summe (akt.) Personalbestand (ohne Regie/Hauswarte)</t>
    </r>
  </si>
  <si>
    <t xml:space="preserve">Die Kennzahl gibt an, wieviel Altersversorgung im Durchschnitt pro Verwaltungsmitarbeiter gezahlt wird. Problematisch ist, wenn unterschiedliche Versorgungssysteme existieren oder wenn nur bestimmte Personengruppen (z. B. leitende Angestellte) von Versorgungszusagen profitieren. In diesen Fällen gibt die Betrachtung über die gesamte Belegschaft ein nur sehr allgemeines Bild über das Versorgungsniveau. </t>
  </si>
  <si>
    <r>
      <t xml:space="preserve">Hohe durchschnittliche Altersversorgungskosten können folgende Hinweise geben: 
</t>
    </r>
    <r>
      <rPr>
        <b/>
        <sz val="10"/>
        <rFont val="Arial"/>
        <family val="2"/>
      </rPr>
      <t>Negativ:</t>
    </r>
    <r>
      <rPr>
        <sz val="10"/>
        <rFont val="Arial"/>
        <family val="2"/>
      </rPr>
      <t xml:space="preserve"> Das Versorgungsniveau ist im Durchschnitt zu vergleichbaren Unternehmen der Branche zu hoch. 
</t>
    </r>
    <r>
      <rPr>
        <b/>
        <sz val="10"/>
        <rFont val="Arial"/>
        <family val="2"/>
      </rPr>
      <t>Gegenmaßnahmen:</t>
    </r>
    <r>
      <rPr>
        <sz val="10"/>
        <rFont val="Arial"/>
        <family val="2"/>
      </rPr>
      <t xml:space="preserve"> Untersuchung der Versorgungssysteme (Konsequenz: Z. B. Umstieg von teuren Direktzusagen zu günstigeren indirekten Versorgungssystemen, z. B. rückgedeckte Unterstützungskasse) 
</t>
    </r>
    <r>
      <rPr>
        <b/>
        <sz val="10"/>
        <rFont val="Arial"/>
        <family val="2"/>
      </rPr>
      <t>Positiv:</t>
    </r>
    <r>
      <rPr>
        <sz val="10"/>
        <rFont val="Arial"/>
        <family val="2"/>
      </rPr>
      <t xml:space="preserve"> Altersvorsorge seitens des Arbeitsgebers zeigt hohes Maß der Verantwortung des Arbeitsgebers und kann sich durch erhöhtes Sicherheitsempfinden oder vermehrte Unternehmensidentifikation in der Leistungsbereitschaft der Belegschaft widerspiegeln</t>
    </r>
  </si>
  <si>
    <t>(LG05-LG06)/(PB10-PB04-PB05)</t>
  </si>
  <si>
    <r>
      <t>Verwaltungskostensatz I</t>
    </r>
    <r>
      <rPr>
        <sz val="10"/>
        <rFont val="Arial"/>
        <family val="2"/>
      </rPr>
      <t xml:space="preserve">
durchschnittlicher Personal- und Sachaufwand je WE für eigene und durch Treuhand u./o. Verwaltervertrag betreute Einheiten insgesamt </t>
    </r>
  </si>
  <si>
    <t>Euro/WE</t>
  </si>
  <si>
    <t xml:space="preserve">Die Kennzahl gibt einen Hinweis darauf, wieviel Kosten für Verwaltung pro Wohneinheit getragen werden müssen. Hier ist ein direkter Vergleich mit den in der Miete kalkulierten Verwaltungskosten notwendig. </t>
  </si>
  <si>
    <t>Zu positiven und negativen Hinweisen sowie zu Gegenmaßnahmen vgl. die Ausführungen zu Z19 und Z20.</t>
  </si>
  <si>
    <t>(BA14+BA15)/(EE01+EE02/7+EE03+EE04/12+VE01+VE02/7+VE03+VE04/12)</t>
  </si>
  <si>
    <r>
      <t>Verwaltungskostensatz IV</t>
    </r>
    <r>
      <rPr>
        <sz val="10"/>
        <rFont val="Arial"/>
        <family val="2"/>
      </rPr>
      <t xml:space="preserve">
durchschnittlicher Personal- und Sachaufwand (eigene Einheiten) : Istmieten (eigene Einheiten)</t>
    </r>
  </si>
  <si>
    <t>(BA14)/(UE01+UE03-ES11-ES12)*100</t>
  </si>
  <si>
    <r>
      <t>Verwaltungskostensatz V</t>
    </r>
    <r>
      <rPr>
        <sz val="10"/>
        <rFont val="Arial"/>
        <family val="2"/>
      </rPr>
      <t xml:space="preserve">
durchschnittlicher Personal- und Sachaufwand : Umsatzerlösen</t>
    </r>
  </si>
  <si>
    <t>(BA14+BA15)/(UE10+UE20+UE30+UE40)*100</t>
  </si>
  <si>
    <r>
      <t>Verwaltungskostensatz II</t>
    </r>
    <r>
      <rPr>
        <sz val="10"/>
        <rFont val="Arial"/>
        <family val="2"/>
      </rPr>
      <t xml:space="preserve">
durchschnittlicher Personal- und Sachaufwand je WE für eigene Einheiten (Hausbewirtschaftung)</t>
    </r>
  </si>
  <si>
    <t>s. Erläuterungen zu Z23</t>
  </si>
  <si>
    <t xml:space="preserve"> s. Erläuterungen zu Z23</t>
  </si>
  <si>
    <t>BA14/(EE01+EE02/7+EE03+EE04/12)</t>
  </si>
  <si>
    <r>
      <t>Verwaltungskostensatz III</t>
    </r>
    <r>
      <rPr>
        <sz val="10"/>
        <rFont val="Arial"/>
        <family val="2"/>
      </rPr>
      <t xml:space="preserve">
durchschnittlicher Personal- und Sach-aufwand je WE für durch Treuhand u./o. Verwaltervertrag betreute Einheiten (verwaltungsmäßige Betreuung)</t>
    </r>
  </si>
  <si>
    <t>BA15/(VE01+VE02/7+VE03+VE04/12)</t>
  </si>
  <si>
    <r>
      <t>Verwaltete Einheiten je Mitarbeiter</t>
    </r>
    <r>
      <rPr>
        <sz val="10"/>
        <rFont val="Arial"/>
        <family val="2"/>
      </rPr>
      <t xml:space="preserve">
Summe WE insgesamt (eigene und übrige verwaltete WE) : Summe Personal Hausbewirtschaftung und verwaltungsmäßige Betreuung (Beschäftigungsgrad Hausbewirt-schaftung / verwaltungsmäßige Betreuung)</t>
    </r>
  </si>
  <si>
    <t>Die Kennzahl zeigt die Anzahl der Verwaltungsmitarbeiter pro eigener bzw. verwalteter WE und stellt damit das mengenmäßige Pendant zu Z23 dar; vgl. Ausführungen dort.</t>
  </si>
  <si>
    <t>(EE01+EE02/7+EE03+EE04/12+VE01+VE02/7+VE03+VE04/12)/PB30</t>
  </si>
  <si>
    <t>Teil III - Management Summary</t>
  </si>
  <si>
    <t>1. Kennzahlen zum Bestand und zur Bestandsstruktur</t>
  </si>
  <si>
    <t>EE01+(EE02/7)+EE03+(EE04/12)+VE01+(VE02/7)+VE03+(VE04/12)</t>
  </si>
  <si>
    <t>2. Kennzahlen zur Vermögens- und Kapitalstruktur</t>
  </si>
  <si>
    <t>3. Kennzahlen zur Ergebnis- und Cash Flow- Struktur</t>
  </si>
  <si>
    <t>Erlöse aus Verkäufen des AV und UV (Capital Gains)</t>
  </si>
  <si>
    <t>(UE20+UE51)/1000</t>
  </si>
  <si>
    <t>(GW10-GW20+XX28-GR10-XX50+ST10+AA04+AA03-EA01+ZA10-EZ02-EW01)/1000</t>
  </si>
  <si>
    <t>K06A*1000/(ZA10)</t>
  </si>
  <si>
    <t>(GW10-GW20+ST10)/1000</t>
  </si>
  <si>
    <t>(GW10-GW20)/1000</t>
  </si>
  <si>
    <t>K14c</t>
  </si>
  <si>
    <t>4. Rentabilitäts- und Cash Flow- Kennziffern</t>
  </si>
  <si>
    <t>5. Kennziffern zur Investitionstätigkeit</t>
  </si>
  <si>
    <t>Modernisierungskosten Wohnbauten (Aktivierung)</t>
  </si>
  <si>
    <t>Ankaufstätigkeit - Ankaufinvestitionen im AV und UV</t>
  </si>
  <si>
    <t>ANK02/1000</t>
  </si>
  <si>
    <t>(IK01+XX45)/1000</t>
  </si>
  <si>
    <t>Hilfehinweis: Um zu den Eingabefeldern zu kommen, können Sie über den Aufruf "Strg"+"G" ein Dialogfeld aufrufen und die entsprechende Kurzbezeichnung auswählen oder direkt eingeben.</t>
  </si>
  <si>
    <t>Ziffer 6 = Nullelement für alle anderen Teilnehmer (Voreinstellung)</t>
  </si>
  <si>
    <t>Ziffer 5 = Familienheim</t>
  </si>
  <si>
    <t xml:space="preserve">- Übrige Aufwendungen (eigene Einheiten)
  die der Hausbewirtschaftung 
  zuzuordnen sind </t>
  </si>
  <si>
    <t>I.8_XX60</t>
  </si>
  <si>
    <t>Zinsanteil Zuführung Pensionsrückstellungen</t>
  </si>
  <si>
    <t>ZA06</t>
  </si>
  <si>
    <t>nicht: Betriebskosten</t>
  </si>
  <si>
    <t>incl. Anzahlungen Betriebskosten</t>
  </si>
  <si>
    <t>evtl. Abgleich mit Kapitalflussrechnung Prüfungsbericht</t>
  </si>
  <si>
    <t>i.d.R. Aufteilung wie Prüf.bericht</t>
  </si>
  <si>
    <t>mind. Wert Seite 8 Zelle XX21</t>
  </si>
  <si>
    <t>incl. anteilmäßig allg. Verwal-      tung (ReWe, Vorstand,...)
Übriges Personal:
Bauträger/Spareinrichtung/…</t>
  </si>
  <si>
    <t>BA21Hausm./Regie/Technik Inst.</t>
  </si>
  <si>
    <t>BA22: z.B. Gartenpflege, ...</t>
  </si>
  <si>
    <t>BA23: z.B. Heizwarte</t>
  </si>
  <si>
    <t>Datenerfassung:</t>
  </si>
  <si>
    <t>Berichtsjahr</t>
  </si>
  <si>
    <t>Datenerfassung Mietwohnungsbau</t>
  </si>
  <si>
    <t>Gesamtkosten fertiggestellter Mietwohnungen</t>
  </si>
  <si>
    <t xml:space="preserve">  davon Grundstückskosten</t>
  </si>
  <si>
    <t>Wohnfläche fertiggestellter Mietwohnungen</t>
  </si>
  <si>
    <t>Datenerfassung Bauträger</t>
  </si>
  <si>
    <t>Im Geschäftsjahr übergebene Wohneinheiten</t>
  </si>
  <si>
    <t>Am 31.12  im Bau befindliche Wohneinheiten</t>
  </si>
  <si>
    <t xml:space="preserve">   -davon mit abgeschlossenen Kaufverträgen</t>
  </si>
  <si>
    <t>Umsatzerlöse aus Verkaufstätigkeit</t>
  </si>
  <si>
    <t>Wohnfläche übergebener (verkaufter) Hauseinheiten</t>
  </si>
  <si>
    <t>Wohnfläche übergebener (verkaufter) Eigentumswohnungen</t>
  </si>
  <si>
    <t>Gesamtkosten verkaufter Eigentumswohnungen</t>
  </si>
  <si>
    <t>Baukostenrückstellungen für verkaufte Eigentumswohnungen</t>
  </si>
  <si>
    <t>Geamtkosten verkaufter Hauseinheiten</t>
  </si>
  <si>
    <t>Baukostenrückstellungen für verkaufte Hauseinheiten</t>
  </si>
  <si>
    <t xml:space="preserve">Über Makler verkaufte (von den übergebenen) Wohneinheiten </t>
  </si>
  <si>
    <t>Datenerfassung WEG-Verwaltung</t>
  </si>
  <si>
    <r>
      <t>Verwaltete Wohn- und gewerbliche Einheiten (</t>
    </r>
    <r>
      <rPr>
        <b/>
        <sz val="9"/>
        <rFont val="Arial"/>
        <family val="2"/>
      </rPr>
      <t>Eigentümergemeinschaften</t>
    </r>
    <r>
      <rPr>
        <sz val="9"/>
        <rFont val="Arial"/>
        <family val="2"/>
      </rPr>
      <t xml:space="preserve">) </t>
    </r>
  </si>
  <si>
    <t>Eigentümergemeinschaften</t>
  </si>
  <si>
    <r>
      <t xml:space="preserve">Umsatzerlöse aus Verwaltergebühren </t>
    </r>
    <r>
      <rPr>
        <b/>
        <sz val="9"/>
        <rFont val="Arial"/>
        <family val="2"/>
      </rPr>
      <t>(Eigentümergemeinschaften)</t>
    </r>
  </si>
  <si>
    <t>Umsatzerlöse aus Zusatzleistungen (z.B. Hausmeisterdienste u. a.)</t>
  </si>
  <si>
    <r>
      <t xml:space="preserve">Umsatzerlöse </t>
    </r>
    <r>
      <rPr>
        <b/>
        <sz val="9"/>
        <rFont val="Arial"/>
        <family val="2"/>
      </rPr>
      <t>sonstige Verwaltungen</t>
    </r>
  </si>
  <si>
    <t>Datenerfassung Hausverwaltung</t>
  </si>
  <si>
    <t>Anzahl der eigenen Wohnungen 31.12.</t>
  </si>
  <si>
    <t>Öffentlich geförderte Wohnungen (alle Förderwege)</t>
  </si>
  <si>
    <t>Sollmieten insgesamt</t>
  </si>
  <si>
    <t>Wohnfläche der eigenen Wohnungen</t>
  </si>
  <si>
    <t>Erlösschmälerungen  nur Wohnungen</t>
  </si>
  <si>
    <t>Im Geschäftsjahr durch Tausch gekündigte Wohnungen</t>
  </si>
  <si>
    <t>Aktivierte Modernisierungskosten</t>
  </si>
  <si>
    <t>Datenerfassung Personalwirtschaft</t>
  </si>
  <si>
    <t>Löhne und Gehälter aller Beschäftigten</t>
  </si>
  <si>
    <t>Sozialabgaben aller Beschäftigten</t>
  </si>
  <si>
    <t xml:space="preserve">Aufwendungen für Altersversorgung aller Beschäftigten </t>
  </si>
  <si>
    <t>Freiwillige soziale Aufwendungen</t>
  </si>
  <si>
    <t>Datenerfassung Finanzwirtschaft</t>
  </si>
  <si>
    <t>Fremdkapitalzinsen</t>
  </si>
  <si>
    <t>Planmässige Abschreibungen Anlagevermögen</t>
  </si>
  <si>
    <t xml:space="preserve">Abschreibungen Forderungen und Veränderung der Wertberichtigung </t>
  </si>
  <si>
    <t>Abschreibungen Geldbeschaffungskosten</t>
  </si>
  <si>
    <t>Kennzahlen</t>
  </si>
  <si>
    <t>Gesamtkosten übergebener Häuser pro qm</t>
  </si>
  <si>
    <t xml:space="preserve">  davon Grundstückskosten pro qm </t>
  </si>
  <si>
    <t>Herstellungskosten ohne Grundstückskosten</t>
  </si>
  <si>
    <t>Gesamtkosten übergebener Eigentumswohnungen pro qm</t>
  </si>
  <si>
    <t>Ertrag % der Gesamtkosten</t>
  </si>
  <si>
    <t>Maklerquote der übergebenen Wohnungen</t>
  </si>
  <si>
    <t>Gesamtkosten fertiggestellter Mietwohnungen pro qm</t>
  </si>
  <si>
    <t>Herstellungskosten fertiggestellter Mietwohnungen pro qm</t>
  </si>
  <si>
    <t>Hausbewirtschaftung</t>
  </si>
  <si>
    <t>Tauschrate Wohnungen</t>
  </si>
  <si>
    <t>Instandhaltungskosten pro qm Wohn- Nutzfläche</t>
  </si>
  <si>
    <t>Modernisierungskosten pro qm Wohn- Nutzfläche</t>
  </si>
  <si>
    <t>Gebäudeerhaltungskosten pro qm Wohn- Nutzfläche</t>
  </si>
  <si>
    <t>Gebäudeerhaltungsquote</t>
  </si>
  <si>
    <t>Förderquote Wohnungen</t>
  </si>
  <si>
    <t>Sonstige Kennzahlen</t>
  </si>
  <si>
    <t>Verwaltete Wohn- und gewerbliche Einheiten (ohne Garagen)</t>
  </si>
  <si>
    <t>Umsatzerlöse aus Verwaltergebühren</t>
  </si>
  <si>
    <t>Durchschnittliche Verwaltergebühren Pro Wohnung</t>
  </si>
  <si>
    <t xml:space="preserve">Gesamtaufwand (Verwaltungsaufwand, Abschreibungen, Zinsen, </t>
  </si>
  <si>
    <t>Instandhaltungskosten, sonstige Kosten Hausbewirtschaftung)</t>
  </si>
  <si>
    <t>Nachhaltige Erträge (Mietwohnungen, Verwaltung Fremdwohnungen)</t>
  </si>
  <si>
    <t>Deckungsgrad</t>
  </si>
  <si>
    <t>u.a. KfW-Tilgungszuschuss</t>
  </si>
  <si>
    <t>nicht: KfW Tilgungszuschuss</t>
  </si>
  <si>
    <t>Hier (Brutto)verkaufspreis, wenn auf Seite 7 Zelle SE01 Erträge aus Anlageverkäufen von Grundstücken enthalten</t>
  </si>
  <si>
    <t>BA14: incl. anteilig allg. Verwal-
tung (Vorstand, ReWe, …) 
BA24: Bauträger/Mod/Spar/…incl.anteilig Vorstand/ReWe/…</t>
  </si>
  <si>
    <t>Nur Personen berücksichtigen, für die</t>
  </si>
  <si>
    <t>Personalaufwand anfällt!</t>
  </si>
  <si>
    <t>Abschreibungen und Wertberichtigungen Mietforderungen</t>
  </si>
  <si>
    <t>Nutzfläche der vermieteten gewerblichen Einheiten</t>
  </si>
  <si>
    <t>INV02</t>
  </si>
  <si>
    <r>
      <t>Alle</t>
    </r>
    <r>
      <rPr>
        <sz val="10"/>
        <rFont val="Arial"/>
        <family val="2"/>
      </rPr>
      <t xml:space="preserve"> übrigen Aufwendungen für durch </t>
    </r>
    <r>
      <rPr>
        <u/>
        <sz val="10"/>
        <rFont val="Arial"/>
        <family val="2"/>
      </rPr>
      <t>Miete/Pacht</t>
    </r>
    <r>
      <rPr>
        <sz val="10"/>
        <rFont val="Arial"/>
        <family val="2"/>
      </rPr>
      <t xml:space="preserve"> erworbene Einheiten </t>
    </r>
  </si>
  <si>
    <r>
      <t xml:space="preserve">      Instandhaltungskosten der durch </t>
    </r>
    <r>
      <rPr>
        <u/>
        <sz val="10"/>
        <rFont val="Arial"/>
        <family val="2"/>
      </rPr>
      <t>Miete/Pacht</t>
    </r>
    <r>
      <rPr>
        <sz val="10"/>
        <rFont val="Arial"/>
        <family val="2"/>
      </rPr>
      <t xml:space="preserve"> erworbenen Einheiten</t>
    </r>
  </si>
  <si>
    <t>Management Summary</t>
  </si>
  <si>
    <t>Ziffer 1 = Genossenschaft
Ziffer 2 = GmbH
Ziffer 3 = AG
Ziffer 4 = Sonstige</t>
  </si>
  <si>
    <t>1.1.1 Genossenschaft mit Spareinrichtung</t>
  </si>
  <si>
    <r>
      <t xml:space="preserve">        Ziffer 1 = Genossenschaft </t>
    </r>
    <r>
      <rPr>
        <u/>
        <sz val="8"/>
        <rFont val="Arial"/>
        <family val="2"/>
      </rPr>
      <t>ohne</t>
    </r>
    <r>
      <rPr>
        <sz val="8"/>
        <rFont val="Arial"/>
        <family val="2"/>
      </rPr>
      <t xml:space="preserve"> Spareinrichtung
        Ziffer 2 = Genossenschaft </t>
    </r>
    <r>
      <rPr>
        <u/>
        <sz val="8"/>
        <rFont val="Arial"/>
        <family val="2"/>
      </rPr>
      <t>mit</t>
    </r>
    <r>
      <rPr>
        <sz val="8"/>
        <rFont val="Arial"/>
        <family val="2"/>
      </rPr>
      <t xml:space="preserve"> Spareinrichtung</t>
    </r>
  </si>
  <si>
    <t>SPAR</t>
  </si>
  <si>
    <t>(GW10-GW20+AA10+ZA02+AF10-SE08+(SP10-SP09)+(LR10-LR09+LR09A)-SE02-ZE10+ZW10)/1000</t>
  </si>
  <si>
    <t>(GW10-GW20+AA10+ZA02+AF10+(SP10-SP09)+(LR10-LR09+LR09A)-SE02-ZE10+ZW10)/1000</t>
  </si>
  <si>
    <t>(FK10+FK50+SL10+LV10+((SP10-INV02)/4))*100/GK10</t>
  </si>
  <si>
    <t>(FK10+FK50+SL10+LV10+KV10+((SP10-INV02)/4))*100/
GK10</t>
  </si>
  <si>
    <t>(GW10-GW20+ST10)*100/
((EK09+INV01+((SP09-INV01)*3/4+EK10+INV02+(SP10-inv02)*3/4)/2)</t>
  </si>
  <si>
    <t>(GW10-GW20+ST10)*100/(EK10+INV02+(SP10-INV02)*3/4)</t>
  </si>
  <si>
    <t>(GW10-GW20)*100/(EK10+INV02+(SP10-INV02)*3/4)</t>
  </si>
  <si>
    <t>(GW10-GW20)*100/((EK09+INV01+(SP09-INV01)*3/4+EK10+INV02+(SP10-INV02)*3/4)/2)</t>
  </si>
  <si>
    <t>(GW10-GW20+ST10)*100/((EK10+INV02+(SP10-INV02)*3/4+RBAU))</t>
  </si>
  <si>
    <t>(K14*1000*100)/(EK10+INV02+(SP10-INV02)*3/4)</t>
  </si>
  <si>
    <t>(K14*1000*100)/
((EK09+INV01+(SP09-INV01)*3/4+EK10+INV02+(SP10-INV02)*3/4)/2)</t>
  </si>
  <si>
    <t>K14C*1000*100/(EK10+INV02+(SP10-INV02)/4)</t>
  </si>
  <si>
    <t>(EK10+INV02+(SP10-INV02)*3/4)/1000</t>
  </si>
  <si>
    <t>31.12.</t>
  </si>
  <si>
    <t>Iris Richardt</t>
  </si>
  <si>
    <t>0361 34010 217</t>
  </si>
  <si>
    <t>iris.richardt@vtw.de</t>
  </si>
  <si>
    <t>K48E</t>
  </si>
  <si>
    <r>
      <t xml:space="preserve">Investitionen in den Bestand 
</t>
    </r>
    <r>
      <rPr>
        <sz val="10"/>
        <rFont val="Arial"/>
        <family val="2"/>
      </rPr>
      <t>(Instandhaltungkosten+nachträgliche Herstellungskosten)/m²</t>
    </r>
  </si>
  <si>
    <r>
      <t>Investitionen in den Bestand</t>
    </r>
    <r>
      <rPr>
        <sz val="10"/>
        <rFont val="Arial"/>
        <family val="2"/>
      </rPr>
      <t xml:space="preserve">
(Instandhaltungkosten+nachträgliche Herstellungskosten)/m² WFL</t>
    </r>
  </si>
  <si>
    <t>(IK01+AV12)/(EN10)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</si>
</sst>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00"/>
    <numFmt numFmtId="166" formatCode="_-* #,##0.00\ [$€-1]_-;\-* #,##0.00\ [$€-1]_-;_-* &quot;-&quot;??\ [$€-1]_-"/>
    <numFmt numFmtId="167" formatCode="_ * #,##0.00_)\€_ ;_ * \(#,##0.00\)\€_ ;_ * &quot;-&quot;??_)\€_ ;_ @_ "/>
    <numFmt numFmtId="168" formatCode="#,##0;;&quot;---&quot;"/>
    <numFmt numFmtId="169" formatCode="&quot;/ &quot;#,##0&quot; =&quot;"/>
    <numFmt numFmtId="170" formatCode="#,##0\ &quot;€&quot;"/>
    <numFmt numFmtId="171" formatCode="#,##0.00&quot; %&quot;"/>
  </numFmts>
  <fonts count="82" x14ac:knownFonts="1">
    <font>
      <sz val="10"/>
      <name val="Arial"/>
    </font>
    <font>
      <sz val="10"/>
      <name val="Arial"/>
    </font>
    <font>
      <b/>
      <sz val="10"/>
      <name val="Arial"/>
      <family val="2"/>
    </font>
    <font>
      <b/>
      <sz val="12"/>
      <name val="Arial"/>
      <family val="2"/>
    </font>
    <font>
      <sz val="10"/>
      <name val="Arial"/>
      <family val="2"/>
    </font>
    <font>
      <b/>
      <i/>
      <sz val="10"/>
      <name val="Arial"/>
      <family val="2"/>
    </font>
    <font>
      <b/>
      <i/>
      <sz val="12"/>
      <name val="Arial"/>
      <family val="2"/>
    </font>
    <font>
      <sz val="12"/>
      <name val="Arial"/>
      <family val="2"/>
    </font>
    <font>
      <b/>
      <sz val="10"/>
      <name val="Arial"/>
      <family val="2"/>
    </font>
    <font>
      <b/>
      <u/>
      <sz val="10"/>
      <name val="Arial"/>
      <family val="2"/>
    </font>
    <font>
      <u/>
      <sz val="10"/>
      <name val="Arial"/>
      <family val="2"/>
    </font>
    <font>
      <sz val="8"/>
      <name val="Arial"/>
      <family val="2"/>
    </font>
    <font>
      <sz val="9"/>
      <name val="Arial"/>
      <family val="2"/>
    </font>
    <font>
      <sz val="10"/>
      <color indexed="10"/>
      <name val="Arial"/>
      <family val="2"/>
    </font>
    <font>
      <b/>
      <sz val="10"/>
      <color indexed="10"/>
      <name val="Arial"/>
      <family val="2"/>
    </font>
    <font>
      <sz val="8"/>
      <color indexed="10"/>
      <name val="Arial"/>
      <family val="2"/>
    </font>
    <font>
      <b/>
      <u/>
      <sz val="10"/>
      <color indexed="10"/>
      <name val="Arial"/>
      <family val="2"/>
    </font>
    <font>
      <sz val="10"/>
      <color indexed="9"/>
      <name val="Arial"/>
      <family val="2"/>
    </font>
    <font>
      <u/>
      <sz val="10"/>
      <color indexed="12"/>
      <name val="Arial"/>
      <family val="2"/>
    </font>
    <font>
      <sz val="8"/>
      <color indexed="81"/>
      <name val="Tahoma"/>
      <family val="2"/>
    </font>
    <font>
      <b/>
      <sz val="8"/>
      <color indexed="81"/>
      <name val="Tahoma"/>
      <family val="2"/>
    </font>
    <font>
      <b/>
      <sz val="8"/>
      <color indexed="10"/>
      <name val="Tahoma"/>
      <family val="2"/>
    </font>
    <font>
      <b/>
      <sz val="8"/>
      <color indexed="12"/>
      <name val="Tahoma"/>
      <family val="2"/>
    </font>
    <font>
      <i/>
      <sz val="10"/>
      <name val="Arial"/>
      <family val="2"/>
    </font>
    <font>
      <i/>
      <sz val="10"/>
      <color indexed="10"/>
      <name val="Arial"/>
      <family val="2"/>
    </font>
    <font>
      <b/>
      <i/>
      <sz val="10"/>
      <color indexed="10"/>
      <name val="Arial"/>
      <family val="2"/>
    </font>
    <font>
      <i/>
      <sz val="10"/>
      <color indexed="12"/>
      <name val="Arial"/>
      <family val="2"/>
    </font>
    <font>
      <b/>
      <i/>
      <sz val="10"/>
      <color indexed="12"/>
      <name val="Arial"/>
      <family val="2"/>
    </font>
    <font>
      <u/>
      <sz val="8"/>
      <name val="Arial"/>
      <family val="2"/>
    </font>
    <font>
      <i/>
      <sz val="8"/>
      <color indexed="12"/>
      <name val="Arial"/>
      <family val="2"/>
    </font>
    <font>
      <b/>
      <sz val="14"/>
      <name val="Arial"/>
      <family val="2"/>
    </font>
    <font>
      <sz val="6"/>
      <name val="Arial"/>
      <family val="2"/>
    </font>
    <font>
      <sz val="12"/>
      <color indexed="10"/>
      <name val="Arial"/>
      <family val="2"/>
    </font>
    <font>
      <u/>
      <sz val="10"/>
      <color indexed="10"/>
      <name val="Arial"/>
      <family val="2"/>
    </font>
    <font>
      <sz val="10"/>
      <color indexed="10"/>
      <name val="Arial"/>
      <family val="2"/>
    </font>
    <font>
      <b/>
      <sz val="11"/>
      <name val="Arial"/>
      <family val="2"/>
    </font>
    <font>
      <sz val="8"/>
      <name val="Arial"/>
      <family val="2"/>
    </font>
    <font>
      <b/>
      <u/>
      <vertAlign val="superscript"/>
      <sz val="10"/>
      <name val="Arial"/>
      <family val="2"/>
    </font>
    <font>
      <vertAlign val="superscript"/>
      <sz val="8"/>
      <name val="Arial"/>
      <family val="2"/>
    </font>
    <font>
      <vertAlign val="superscript"/>
      <sz val="9"/>
      <name val="Arial"/>
      <family val="2"/>
    </font>
    <font>
      <u/>
      <sz val="10"/>
      <name val="Arial"/>
      <family val="2"/>
    </font>
    <font>
      <i/>
      <u/>
      <sz val="10"/>
      <name val="Arial"/>
      <family val="2"/>
    </font>
    <font>
      <b/>
      <i/>
      <sz val="11"/>
      <name val="Arial"/>
      <family val="2"/>
    </font>
    <font>
      <b/>
      <sz val="10"/>
      <color indexed="10"/>
      <name val="Arial"/>
      <family val="2"/>
    </font>
    <font>
      <i/>
      <sz val="10"/>
      <color indexed="8"/>
      <name val="Arial"/>
      <family val="2"/>
    </font>
    <font>
      <i/>
      <u/>
      <sz val="10"/>
      <color indexed="8"/>
      <name val="Arial"/>
      <family val="2"/>
    </font>
    <font>
      <b/>
      <sz val="10"/>
      <color indexed="12"/>
      <name val="Arial"/>
      <family val="2"/>
    </font>
    <font>
      <sz val="10"/>
      <color indexed="12"/>
      <name val="Arial"/>
      <family val="2"/>
    </font>
    <font>
      <sz val="11"/>
      <name val="Times New Roman"/>
      <family val="1"/>
    </font>
    <font>
      <b/>
      <sz val="8"/>
      <name val="Arial"/>
      <family val="2"/>
    </font>
    <font>
      <b/>
      <sz val="8"/>
      <name val="Arial"/>
      <family val="2"/>
    </font>
    <font>
      <b/>
      <sz val="9"/>
      <name val="Arial"/>
      <family val="2"/>
    </font>
    <font>
      <sz val="8"/>
      <color indexed="12"/>
      <name val="Arial"/>
      <family val="2"/>
    </font>
    <font>
      <sz val="8"/>
      <color indexed="12"/>
      <name val="Arial"/>
      <family val="2"/>
    </font>
    <font>
      <sz val="10"/>
      <color indexed="12"/>
      <name val="Arial"/>
      <family val="2"/>
    </font>
    <font>
      <sz val="12"/>
      <color indexed="10"/>
      <name val="Arial"/>
      <family val="2"/>
    </font>
    <font>
      <b/>
      <sz val="8"/>
      <color indexed="12"/>
      <name val="Arial"/>
      <family val="2"/>
    </font>
    <font>
      <sz val="10"/>
      <color indexed="9"/>
      <name val="Arial"/>
      <family val="2"/>
    </font>
    <font>
      <b/>
      <sz val="8"/>
      <color indexed="10"/>
      <name val="Arial"/>
      <family val="2"/>
    </font>
    <font>
      <sz val="9"/>
      <color indexed="12"/>
      <name val="Arial"/>
      <family val="2"/>
    </font>
    <font>
      <b/>
      <sz val="20"/>
      <name val="Arial"/>
      <family val="2"/>
    </font>
    <font>
      <sz val="10"/>
      <color indexed="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sz val="11"/>
      <color indexed="52"/>
      <name val="Calibri"/>
      <family val="2"/>
    </font>
    <font>
      <sz val="11"/>
      <color indexed="10"/>
      <name val="Calibri"/>
      <family val="2"/>
    </font>
    <font>
      <b/>
      <sz val="11"/>
      <color indexed="9"/>
      <name val="Calibri"/>
      <family val="2"/>
    </font>
    <font>
      <b/>
      <sz val="15"/>
      <color indexed="56"/>
      <name val="Calibri"/>
      <family val="2"/>
    </font>
    <font>
      <b/>
      <sz val="13"/>
      <color indexed="56"/>
      <name val="Calibri"/>
      <family val="2"/>
    </font>
    <font>
      <b/>
      <sz val="11"/>
      <color indexed="56"/>
      <name val="Calibri"/>
      <family val="2"/>
    </font>
    <font>
      <sz val="10"/>
      <name val="Arial"/>
      <family val="2"/>
    </font>
    <font>
      <b/>
      <sz val="18"/>
      <color indexed="56"/>
      <name val="Cambria"/>
      <family val="2"/>
    </font>
    <font>
      <b/>
      <sz val="10"/>
      <color rgb="FFFF0000"/>
      <name val="Arial"/>
      <family val="2"/>
    </font>
    <font>
      <sz val="10"/>
      <color rgb="FFFF0000"/>
      <name val="Arial"/>
      <family val="2"/>
    </font>
    <font>
      <sz val="8"/>
      <color rgb="FF000000"/>
      <name val="Arial"/>
      <family val="2"/>
    </font>
  </fonts>
  <fills count="31">
    <fill>
      <patternFill patternType="none"/>
    </fill>
    <fill>
      <patternFill patternType="gray125"/>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7">
    <xf numFmtId="0" fontId="0" fillId="0" borderId="0"/>
    <xf numFmtId="0" fontId="62" fillId="4" borderId="0" applyNumberFormat="0" applyBorder="0" applyAlignment="0" applyProtection="0"/>
    <xf numFmtId="0" fontId="62" fillId="5" borderId="0" applyNumberFormat="0" applyBorder="0" applyAlignment="0" applyProtection="0"/>
    <xf numFmtId="0" fontId="62" fillId="6" borderId="0" applyNumberFormat="0" applyBorder="0" applyAlignment="0" applyProtection="0"/>
    <xf numFmtId="0" fontId="62" fillId="7"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2" borderId="0" applyNumberFormat="0" applyBorder="0" applyAlignment="0" applyProtection="0"/>
    <xf numFmtId="0" fontId="62" fillId="7"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3" fillId="15"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6" borderId="0" applyNumberFormat="0" applyBorder="0" applyAlignment="0" applyProtection="0"/>
    <xf numFmtId="0" fontId="63" fillId="14"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16" borderId="0" applyNumberFormat="0" applyBorder="0" applyAlignment="0" applyProtection="0"/>
    <xf numFmtId="0" fontId="63" fillId="14" borderId="0" applyNumberFormat="0" applyBorder="0" applyAlignment="0" applyProtection="0"/>
    <xf numFmtId="0" fontId="63" fillId="21" borderId="0" applyNumberFormat="0" applyBorder="0" applyAlignment="0" applyProtection="0"/>
    <xf numFmtId="0" fontId="70" fillId="5" borderId="0" applyNumberFormat="0" applyBorder="0" applyAlignment="0" applyProtection="0"/>
    <xf numFmtId="49" fontId="48" fillId="0" borderId="0" applyNumberFormat="0" applyAlignment="0"/>
    <xf numFmtId="0" fontId="65" fillId="9" borderId="2" applyNumberFormat="0" applyAlignment="0" applyProtection="0"/>
    <xf numFmtId="0" fontId="73" fillId="22" borderId="3" applyNumberFormat="0" applyAlignment="0" applyProtection="0"/>
    <xf numFmtId="166" fontId="1" fillId="0" borderId="0" applyFont="0" applyFill="0" applyBorder="0" applyAlignment="0" applyProtection="0"/>
    <xf numFmtId="0" fontId="68" fillId="0" borderId="0" applyNumberFormat="0" applyFill="0" applyBorder="0" applyAlignment="0" applyProtection="0"/>
    <xf numFmtId="0" fontId="69" fillId="6"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76" fillId="0" borderId="6" applyNumberFormat="0" applyFill="0" applyAlignment="0" applyProtection="0"/>
    <xf numFmtId="0" fontId="76" fillId="0" borderId="0" applyNumberFormat="0" applyFill="0" applyBorder="0" applyAlignment="0" applyProtection="0"/>
    <xf numFmtId="0" fontId="66" fillId="8" borderId="2" applyNumberFormat="0" applyAlignment="0" applyProtection="0"/>
    <xf numFmtId="0" fontId="18" fillId="0" borderId="0" applyNumberFormat="0" applyFill="0" applyBorder="0" applyAlignment="0" applyProtection="0">
      <alignment vertical="top"/>
      <protection locked="0"/>
    </xf>
    <xf numFmtId="0" fontId="71" fillId="0" borderId="7" applyNumberFormat="0" applyFill="0" applyAlignment="0" applyProtection="0"/>
    <xf numFmtId="0" fontId="77" fillId="2" borderId="8" applyNumberFormat="0" applyFont="0" applyAlignment="0" applyProtection="0"/>
    <xf numFmtId="0" fontId="64" fillId="9" borderId="1" applyNumberFormat="0" applyAlignment="0" applyProtection="0"/>
    <xf numFmtId="0" fontId="4" fillId="0" borderId="0"/>
    <xf numFmtId="4" fontId="48" fillId="0" borderId="0"/>
    <xf numFmtId="0" fontId="61" fillId="0" borderId="0"/>
    <xf numFmtId="0" fontId="78" fillId="0" borderId="0" applyNumberFormat="0" applyFill="0" applyBorder="0" applyAlignment="0" applyProtection="0"/>
    <xf numFmtId="0" fontId="67" fillId="0" borderId="9" applyNumberFormat="0" applyFill="0" applyAlignment="0" applyProtection="0"/>
    <xf numFmtId="0" fontId="72" fillId="0" borderId="0" applyNumberFormat="0" applyFill="0" applyBorder="0" applyAlignment="0" applyProtection="0"/>
  </cellStyleXfs>
  <cellXfs count="486">
    <xf numFmtId="0" fontId="0" fillId="0" borderId="0" xfId="0"/>
    <xf numFmtId="0" fontId="2" fillId="0" borderId="0" xfId="0" applyFont="1"/>
    <xf numFmtId="0" fontId="3" fillId="0" borderId="0" xfId="0" applyFont="1"/>
    <xf numFmtId="0" fontId="0" fillId="0" borderId="0" xfId="0" applyAlignment="1">
      <alignment horizontal="right"/>
    </xf>
    <xf numFmtId="0" fontId="5" fillId="0" borderId="0" xfId="0" applyFont="1"/>
    <xf numFmtId="0" fontId="0" fillId="0" borderId="0" xfId="0" applyAlignment="1">
      <alignment horizontal="left"/>
    </xf>
    <xf numFmtId="0" fontId="2" fillId="0" borderId="0" xfId="0" applyFont="1" applyAlignment="1">
      <alignment horizontal="right"/>
    </xf>
    <xf numFmtId="0" fontId="4" fillId="0" borderId="0" xfId="0" applyFont="1"/>
    <xf numFmtId="0" fontId="8" fillId="0" borderId="0" xfId="0" applyFont="1"/>
    <xf numFmtId="0" fontId="10" fillId="0" borderId="0" xfId="0" applyFont="1"/>
    <xf numFmtId="0" fontId="0" fillId="0" borderId="10" xfId="0" applyBorder="1"/>
    <xf numFmtId="0" fontId="2" fillId="0" borderId="11" xfId="0" applyFont="1" applyBorder="1"/>
    <xf numFmtId="0" fontId="9" fillId="0" borderId="0" xfId="0" applyFont="1"/>
    <xf numFmtId="0" fontId="12" fillId="0" borderId="0" xfId="0" applyFont="1"/>
    <xf numFmtId="0" fontId="0" fillId="0" borderId="0" xfId="0" quotePrefix="1"/>
    <xf numFmtId="0" fontId="4" fillId="0" borderId="0" xfId="0" quotePrefix="1" applyFont="1"/>
    <xf numFmtId="0" fontId="3" fillId="0" borderId="0" xfId="0" applyFont="1" applyAlignment="1">
      <alignment horizontal="left"/>
    </xf>
    <xf numFmtId="0" fontId="2" fillId="0" borderId="0" xfId="0" applyFont="1" applyAlignment="1">
      <alignment horizontal="left"/>
    </xf>
    <xf numFmtId="3" fontId="4" fillId="23" borderId="12" xfId="0" applyNumberFormat="1" applyFont="1" applyFill="1" applyBorder="1" applyProtection="1">
      <protection locked="0"/>
    </xf>
    <xf numFmtId="3" fontId="4" fillId="23" borderId="10" xfId="0" applyNumberFormat="1" applyFont="1" applyFill="1" applyBorder="1" applyProtection="1">
      <protection locked="0"/>
    </xf>
    <xf numFmtId="164" fontId="2" fillId="0" borderId="11" xfId="0" applyNumberFormat="1" applyFont="1" applyBorder="1"/>
    <xf numFmtId="3" fontId="2" fillId="0" borderId="11" xfId="0" applyNumberFormat="1" applyFont="1" applyBorder="1"/>
    <xf numFmtId="0" fontId="0" fillId="0" borderId="0" xfId="0" applyAlignment="1">
      <alignment horizontal="center" vertical="top"/>
    </xf>
    <xf numFmtId="0" fontId="0" fillId="0" borderId="0" xfId="0" applyAlignment="1">
      <alignment vertical="top"/>
    </xf>
    <xf numFmtId="2" fontId="0" fillId="0" borderId="0" xfId="0" applyNumberFormat="1" applyAlignment="1">
      <alignment vertical="top"/>
    </xf>
    <xf numFmtId="3" fontId="2" fillId="0" borderId="0" xfId="0" applyNumberFormat="1" applyFont="1"/>
    <xf numFmtId="3" fontId="4" fillId="0" borderId="0" xfId="0" applyNumberFormat="1" applyFont="1"/>
    <xf numFmtId="3" fontId="2" fillId="0" borderId="11" xfId="0" applyNumberFormat="1" applyFont="1" applyBorder="1" applyAlignment="1">
      <alignment horizontal="right"/>
    </xf>
    <xf numFmtId="0" fontId="14" fillId="0" borderId="0" xfId="0" applyFont="1"/>
    <xf numFmtId="0" fontId="4" fillId="0" borderId="0" xfId="0" applyFont="1" applyAlignment="1">
      <alignment horizontal="center"/>
    </xf>
    <xf numFmtId="16" fontId="0" fillId="0" borderId="10" xfId="0" quotePrefix="1" applyNumberFormat="1" applyBorder="1" applyAlignment="1">
      <alignment horizontal="center"/>
    </xf>
    <xf numFmtId="1" fontId="0" fillId="0" borderId="0" xfId="0" applyNumberFormat="1"/>
    <xf numFmtId="0" fontId="11" fillId="0" borderId="0" xfId="0" applyFont="1"/>
    <xf numFmtId="2" fontId="4" fillId="0" borderId="0" xfId="0" applyNumberFormat="1" applyFont="1"/>
    <xf numFmtId="0" fontId="24" fillId="0" borderId="0" xfId="0" applyFont="1"/>
    <xf numFmtId="0" fontId="25" fillId="0" borderId="0" xfId="0" applyFont="1"/>
    <xf numFmtId="0" fontId="13" fillId="0" borderId="0" xfId="0" applyFont="1"/>
    <xf numFmtId="3" fontId="24" fillId="0" borderId="0" xfId="0" applyNumberFormat="1" applyFont="1"/>
    <xf numFmtId="0" fontId="4" fillId="0" borderId="0" xfId="0" applyFont="1" applyAlignment="1">
      <alignment wrapText="1"/>
    </xf>
    <xf numFmtId="0" fontId="2" fillId="0" borderId="0" xfId="0" applyFont="1" applyAlignment="1">
      <alignment wrapText="1"/>
    </xf>
    <xf numFmtId="0" fontId="2" fillId="0" borderId="10" xfId="0" applyFont="1" applyBorder="1"/>
    <xf numFmtId="0" fontId="0" fillId="0" borderId="0" xfId="0" applyAlignment="1">
      <alignment wrapText="1"/>
    </xf>
    <xf numFmtId="3" fontId="2" fillId="0" borderId="10" xfId="0" applyNumberFormat="1" applyFont="1" applyBorder="1"/>
    <xf numFmtId="0" fontId="7" fillId="0" borderId="0" xfId="0" applyFont="1"/>
    <xf numFmtId="4" fontId="0" fillId="0" borderId="0" xfId="0" applyNumberFormat="1"/>
    <xf numFmtId="4" fontId="4" fillId="0" borderId="0" xfId="0" applyNumberFormat="1" applyFont="1"/>
    <xf numFmtId="4" fontId="2" fillId="0" borderId="0" xfId="0" applyNumberFormat="1" applyFont="1"/>
    <xf numFmtId="0" fontId="14" fillId="0" borderId="0" xfId="0" applyFont="1" applyAlignment="1">
      <alignment horizontal="center"/>
    </xf>
    <xf numFmtId="1" fontId="26" fillId="0" borderId="0" xfId="0" applyNumberFormat="1" applyFont="1"/>
    <xf numFmtId="0" fontId="26" fillId="0" borderId="0" xfId="0" applyFont="1"/>
    <xf numFmtId="0" fontId="0" fillId="0" borderId="13" xfId="0" applyBorder="1"/>
    <xf numFmtId="0" fontId="26" fillId="0" borderId="10" xfId="0" applyFont="1" applyBorder="1"/>
    <xf numFmtId="0" fontId="4" fillId="0" borderId="10" xfId="0" applyFont="1" applyBorder="1"/>
    <xf numFmtId="0" fontId="27" fillId="0" borderId="0" xfId="0" applyFont="1"/>
    <xf numFmtId="3" fontId="26" fillId="23" borderId="10" xfId="0" applyNumberFormat="1" applyFont="1" applyFill="1" applyBorder="1" applyProtection="1">
      <protection locked="0"/>
    </xf>
    <xf numFmtId="0" fontId="11" fillId="0" borderId="0" xfId="0" applyFont="1" applyAlignment="1">
      <alignment horizontal="center"/>
    </xf>
    <xf numFmtId="1" fontId="29" fillId="0" borderId="0" xfId="0" applyNumberFormat="1" applyFont="1"/>
    <xf numFmtId="1" fontId="4" fillId="24" borderId="10" xfId="0" applyNumberFormat="1" applyFont="1" applyFill="1" applyBorder="1" applyProtection="1">
      <protection locked="0"/>
    </xf>
    <xf numFmtId="0" fontId="17" fillId="25" borderId="0" xfId="0" applyFont="1" applyFill="1"/>
    <xf numFmtId="49" fontId="4" fillId="24" borderId="10" xfId="0" applyNumberFormat="1" applyFont="1" applyFill="1" applyBorder="1" applyAlignment="1" applyProtection="1">
      <alignment horizontal="right"/>
      <protection locked="0"/>
    </xf>
    <xf numFmtId="164" fontId="4" fillId="24" borderId="10" xfId="0" applyNumberFormat="1" applyFont="1" applyFill="1" applyBorder="1" applyProtection="1">
      <protection locked="0"/>
    </xf>
    <xf numFmtId="3" fontId="4" fillId="24" borderId="12" xfId="0" applyNumberFormat="1" applyFont="1" applyFill="1" applyBorder="1" applyProtection="1">
      <protection locked="0"/>
    </xf>
    <xf numFmtId="3" fontId="4" fillId="24" borderId="10" xfId="0" applyNumberFormat="1" applyFont="1" applyFill="1" applyBorder="1" applyProtection="1">
      <protection locked="0"/>
    </xf>
    <xf numFmtId="0" fontId="0" fillId="0" borderId="14" xfId="0" applyBorder="1"/>
    <xf numFmtId="0" fontId="2" fillId="0" borderId="0" xfId="0" applyFont="1" applyAlignment="1">
      <alignment horizontal="center"/>
    </xf>
    <xf numFmtId="3" fontId="0" fillId="0" borderId="10" xfId="0" applyNumberFormat="1" applyBorder="1"/>
    <xf numFmtId="3" fontId="0" fillId="0" borderId="0" xfId="0" applyNumberFormat="1"/>
    <xf numFmtId="0" fontId="2" fillId="0" borderId="0" xfId="0" applyFont="1" applyAlignment="1">
      <alignment horizontal="center" wrapText="1"/>
    </xf>
    <xf numFmtId="3" fontId="0" fillId="24" borderId="10" xfId="0" applyNumberFormat="1" applyFill="1" applyBorder="1" applyProtection="1">
      <protection locked="0"/>
    </xf>
    <xf numFmtId="3" fontId="0" fillId="24" borderId="13" xfId="0" applyNumberFormat="1" applyFill="1" applyBorder="1" applyProtection="1">
      <protection locked="0"/>
    </xf>
    <xf numFmtId="0" fontId="9" fillId="0" borderId="0" xfId="0" applyFont="1" applyAlignment="1">
      <alignment wrapText="1"/>
    </xf>
    <xf numFmtId="3" fontId="2" fillId="24" borderId="10" xfId="0" applyNumberFormat="1" applyFont="1" applyFill="1" applyBorder="1" applyProtection="1">
      <protection locked="0"/>
    </xf>
    <xf numFmtId="0" fontId="0" fillId="0" borderId="15" xfId="0" applyBorder="1"/>
    <xf numFmtId="0" fontId="17" fillId="0" borderId="0" xfId="0" applyFont="1"/>
    <xf numFmtId="3" fontId="17" fillId="0" borderId="0" xfId="0" applyNumberFormat="1" applyFont="1"/>
    <xf numFmtId="3" fontId="4" fillId="24" borderId="11" xfId="0" applyNumberFormat="1" applyFont="1" applyFill="1" applyBorder="1" applyProtection="1">
      <protection locked="0"/>
    </xf>
    <xf numFmtId="0" fontId="2" fillId="0" borderId="16" xfId="0" applyFont="1" applyBorder="1"/>
    <xf numFmtId="164" fontId="2" fillId="0" borderId="0" xfId="0" applyNumberFormat="1" applyFont="1"/>
    <xf numFmtId="0" fontId="4" fillId="0" borderId="13" xfId="0" applyFont="1" applyBorder="1"/>
    <xf numFmtId="3" fontId="4" fillId="0" borderId="10" xfId="0" applyNumberFormat="1" applyFont="1" applyBorder="1"/>
    <xf numFmtId="164" fontId="4" fillId="0" borderId="12" xfId="0" applyNumberFormat="1" applyFont="1" applyBorder="1"/>
    <xf numFmtId="0" fontId="0" fillId="0" borderId="17" xfId="0" applyBorder="1"/>
    <xf numFmtId="0" fontId="30" fillId="0" borderId="0" xfId="0" applyFont="1"/>
    <xf numFmtId="0" fontId="3" fillId="0" borderId="0" xfId="0" applyFont="1" applyAlignment="1">
      <alignment wrapText="1"/>
    </xf>
    <xf numFmtId="0" fontId="7" fillId="0" borderId="0" xfId="0" applyFont="1" applyAlignment="1">
      <alignment wrapText="1"/>
    </xf>
    <xf numFmtId="0" fontId="3" fillId="0" borderId="18" xfId="0" applyFont="1" applyBorder="1" applyAlignment="1">
      <alignment wrapText="1"/>
    </xf>
    <xf numFmtId="0" fontId="3" fillId="0" borderId="19" xfId="0" applyFont="1" applyBorder="1"/>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4" fontId="0" fillId="0" borderId="23" xfId="0" applyNumberFormat="1" applyBorder="1" applyAlignment="1">
      <alignment vertical="top"/>
    </xf>
    <xf numFmtId="0" fontId="3" fillId="0" borderId="24" xfId="0" applyFont="1" applyBorder="1"/>
    <xf numFmtId="3" fontId="0" fillId="0" borderId="25" xfId="0" applyNumberFormat="1" applyBorder="1" applyAlignment="1">
      <alignment vertical="top"/>
    </xf>
    <xf numFmtId="3" fontId="4" fillId="0" borderId="26" xfId="0" applyNumberFormat="1" applyFont="1" applyBorder="1" applyAlignment="1">
      <alignment horizontal="right" vertical="center"/>
    </xf>
    <xf numFmtId="3" fontId="4" fillId="0" borderId="27" xfId="0" applyNumberFormat="1" applyFont="1" applyBorder="1" applyAlignment="1">
      <alignment horizontal="right" vertical="center"/>
    </xf>
    <xf numFmtId="4" fontId="4" fillId="0" borderId="26" xfId="0" applyNumberFormat="1" applyFont="1" applyBorder="1" applyAlignment="1">
      <alignment horizontal="right" vertical="center"/>
    </xf>
    <xf numFmtId="4" fontId="4" fillId="0" borderId="27" xfId="0" applyNumberFormat="1" applyFont="1" applyBorder="1" applyAlignment="1">
      <alignment horizontal="right" vertical="center"/>
    </xf>
    <xf numFmtId="4" fontId="4" fillId="0" borderId="23" xfId="0" applyNumberFormat="1" applyFont="1" applyBorder="1" applyAlignment="1">
      <alignment horizontal="right" vertical="center"/>
    </xf>
    <xf numFmtId="3" fontId="4" fillId="24" borderId="13" xfId="0" applyNumberFormat="1" applyFont="1" applyFill="1" applyBorder="1" applyProtection="1">
      <protection locked="0"/>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3" fillId="0" borderId="34" xfId="0" applyFont="1" applyBorder="1" applyAlignment="1">
      <alignment wrapText="1"/>
    </xf>
    <xf numFmtId="0" fontId="4" fillId="0" borderId="29" xfId="0" applyFont="1" applyBorder="1" applyAlignment="1">
      <alignment horizontal="center" vertical="center" wrapText="1"/>
    </xf>
    <xf numFmtId="3" fontId="0" fillId="0" borderId="35" xfId="0" applyNumberFormat="1" applyBorder="1" applyAlignment="1">
      <alignment vertical="center"/>
    </xf>
    <xf numFmtId="4" fontId="0" fillId="0" borderId="36" xfId="0" applyNumberFormat="1" applyBorder="1" applyAlignment="1">
      <alignment vertical="center"/>
    </xf>
    <xf numFmtId="3" fontId="0" fillId="0" borderId="36" xfId="0" applyNumberFormat="1" applyBorder="1" applyAlignment="1">
      <alignment vertical="center"/>
    </xf>
    <xf numFmtId="3" fontId="0" fillId="0" borderId="23" xfId="0" applyNumberFormat="1" applyBorder="1" applyAlignment="1">
      <alignment vertical="center"/>
    </xf>
    <xf numFmtId="0" fontId="0" fillId="24" borderId="0" xfId="0" applyFill="1" applyProtection="1">
      <protection locked="0"/>
    </xf>
    <xf numFmtId="0" fontId="0" fillId="24" borderId="0" xfId="0" applyFill="1"/>
    <xf numFmtId="0" fontId="32" fillId="0" borderId="0" xfId="0" applyFont="1"/>
    <xf numFmtId="0" fontId="4" fillId="0" borderId="37" xfId="0" applyFont="1" applyBorder="1" applyAlignment="1">
      <alignment horizontal="center" vertical="center"/>
    </xf>
    <xf numFmtId="0" fontId="4" fillId="0" borderId="38" xfId="0" applyFont="1" applyBorder="1" applyAlignment="1">
      <alignment horizontal="center" vertical="center"/>
    </xf>
    <xf numFmtId="3" fontId="4" fillId="0" borderId="23" xfId="0" applyNumberFormat="1" applyFont="1" applyBorder="1" applyAlignment="1">
      <alignment horizontal="right" vertical="center"/>
    </xf>
    <xf numFmtId="1" fontId="4" fillId="24" borderId="39" xfId="0" applyNumberFormat="1" applyFont="1" applyFill="1" applyBorder="1" applyProtection="1">
      <protection locked="0"/>
    </xf>
    <xf numFmtId="0" fontId="4" fillId="0" borderId="39" xfId="0" applyFont="1" applyBorder="1"/>
    <xf numFmtId="16" fontId="0" fillId="0" borderId="40" xfId="0" quotePrefix="1" applyNumberFormat="1" applyBorder="1" applyAlignment="1">
      <alignment horizontal="center"/>
    </xf>
    <xf numFmtId="0" fontId="4" fillId="0" borderId="40" xfId="0" applyFont="1" applyBorder="1"/>
    <xf numFmtId="1" fontId="2" fillId="0" borderId="39" xfId="0" applyNumberFormat="1" applyFont="1" applyBorder="1"/>
    <xf numFmtId="0" fontId="0" fillId="0" borderId="40" xfId="0" applyBorder="1"/>
    <xf numFmtId="0" fontId="0" fillId="0" borderId="39" xfId="0" applyBorder="1"/>
    <xf numFmtId="0" fontId="33" fillId="0" borderId="0" xfId="0" applyFont="1"/>
    <xf numFmtId="0" fontId="34" fillId="0" borderId="0" xfId="0" applyFont="1"/>
    <xf numFmtId="49" fontId="4" fillId="0" borderId="0" xfId="0" applyNumberFormat="1" applyFont="1" applyAlignment="1">
      <alignment horizontal="right"/>
    </xf>
    <xf numFmtId="0" fontId="11" fillId="0" borderId="0" xfId="0" applyFont="1" applyAlignment="1">
      <alignment horizontal="left" indent="2"/>
    </xf>
    <xf numFmtId="16" fontId="0" fillId="0" borderId="0" xfId="0" quotePrefix="1" applyNumberFormat="1" applyAlignment="1">
      <alignment horizontal="center"/>
    </xf>
    <xf numFmtId="0" fontId="0" fillId="0" borderId="0" xfId="0" applyAlignment="1">
      <alignment horizontal="left" indent="1"/>
    </xf>
    <xf numFmtId="0" fontId="4" fillId="0" borderId="0" xfId="0" applyFont="1" applyAlignment="1">
      <alignment horizontal="left" indent="1"/>
    </xf>
    <xf numFmtId="0" fontId="11" fillId="0" borderId="0" xfId="0" applyFont="1" applyAlignment="1">
      <alignment horizontal="left" indent="1"/>
    </xf>
    <xf numFmtId="0" fontId="10" fillId="0" borderId="0" xfId="0" applyFont="1" applyAlignment="1">
      <alignment horizontal="left" indent="1"/>
    </xf>
    <xf numFmtId="0" fontId="0" fillId="0" borderId="0" xfId="0" applyAlignment="1">
      <alignment horizontal="left" indent="2"/>
    </xf>
    <xf numFmtId="0" fontId="35" fillId="24" borderId="0" xfId="0" applyFont="1" applyFill="1" applyAlignment="1">
      <alignment horizontal="center"/>
    </xf>
    <xf numFmtId="0" fontId="4" fillId="0" borderId="0" xfId="0" applyFont="1" applyAlignment="1">
      <alignment horizontal="left" wrapText="1" indent="1"/>
    </xf>
    <xf numFmtId="0" fontId="36" fillId="0" borderId="0" xfId="0" applyFont="1"/>
    <xf numFmtId="0" fontId="35" fillId="0" borderId="0" xfId="0" applyFont="1"/>
    <xf numFmtId="0" fontId="38" fillId="0" borderId="0" xfId="0" applyFont="1"/>
    <xf numFmtId="0" fontId="11" fillId="0" borderId="0" xfId="0" quotePrefix="1" applyFont="1"/>
    <xf numFmtId="0" fontId="39" fillId="0" borderId="0" xfId="0" applyFont="1"/>
    <xf numFmtId="0" fontId="36" fillId="0" borderId="40" xfId="0" applyFont="1" applyBorder="1" applyAlignment="1">
      <alignment wrapText="1"/>
    </xf>
    <xf numFmtId="0" fontId="40" fillId="0" borderId="0" xfId="0" applyFont="1"/>
    <xf numFmtId="0" fontId="1" fillId="0" borderId="0" xfId="0" applyFont="1"/>
    <xf numFmtId="0" fontId="1" fillId="0" borderId="0" xfId="0" applyFont="1" applyAlignment="1">
      <alignment horizontal="left" indent="1"/>
    </xf>
    <xf numFmtId="0" fontId="4" fillId="0" borderId="0" xfId="0" applyFont="1" applyAlignment="1">
      <alignment horizontal="left" indent="2"/>
    </xf>
    <xf numFmtId="0" fontId="2" fillId="0" borderId="0" xfId="0" applyFont="1" applyAlignment="1">
      <alignment horizontal="left" indent="1"/>
    </xf>
    <xf numFmtId="0" fontId="36" fillId="0" borderId="0" xfId="0" applyFont="1" applyAlignment="1">
      <alignment horizontal="left" indent="1"/>
    </xf>
    <xf numFmtId="0" fontId="23" fillId="0" borderId="0" xfId="0" applyFont="1"/>
    <xf numFmtId="0" fontId="23" fillId="0" borderId="0" xfId="0" applyFont="1" applyAlignment="1">
      <alignment horizontal="left" indent="1"/>
    </xf>
    <xf numFmtId="0" fontId="4" fillId="0" borderId="0" xfId="0" applyFont="1" applyAlignment="1">
      <alignment horizontal="left" wrapText="1" indent="2"/>
    </xf>
    <xf numFmtId="0" fontId="41" fillId="0" borderId="0" xfId="0" applyFont="1" applyAlignment="1">
      <alignment horizontal="left" indent="1"/>
    </xf>
    <xf numFmtId="3" fontId="36" fillId="0" borderId="0" xfId="0" applyNumberFormat="1" applyFont="1"/>
    <xf numFmtId="0" fontId="11" fillId="0" borderId="0" xfId="0" applyFont="1" applyAlignment="1">
      <alignment wrapText="1"/>
    </xf>
    <xf numFmtId="0" fontId="10" fillId="0" borderId="0" xfId="0" applyFont="1" applyAlignment="1">
      <alignment horizontal="left" indent="2"/>
    </xf>
    <xf numFmtId="0" fontId="0" fillId="0" borderId="0" xfId="0" applyAlignment="1">
      <alignment horizontal="left" indent="3"/>
    </xf>
    <xf numFmtId="0" fontId="4" fillId="0" borderId="0" xfId="0" applyFont="1" applyAlignment="1">
      <alignment horizontal="left" indent="3"/>
    </xf>
    <xf numFmtId="0" fontId="12" fillId="0" borderId="0" xfId="0" applyFont="1" applyAlignment="1">
      <alignment horizontal="left" indent="1"/>
    </xf>
    <xf numFmtId="0" fontId="2" fillId="0" borderId="0" xfId="0" applyFont="1" applyAlignment="1">
      <alignment horizontal="left" indent="2"/>
    </xf>
    <xf numFmtId="0" fontId="0" fillId="0" borderId="0" xfId="0" applyAlignment="1">
      <alignment horizontal="left" wrapText="1" indent="1"/>
    </xf>
    <xf numFmtId="0" fontId="10" fillId="0" borderId="0" xfId="0" applyFont="1" applyAlignment="1">
      <alignment horizontal="left" wrapText="1" indent="1"/>
    </xf>
    <xf numFmtId="0" fontId="23" fillId="0" borderId="0" xfId="0" applyFont="1" applyAlignment="1">
      <alignment wrapText="1"/>
    </xf>
    <xf numFmtId="164" fontId="0" fillId="0" borderId="0" xfId="0" applyNumberFormat="1"/>
    <xf numFmtId="0" fontId="36" fillId="0" borderId="0" xfId="0" quotePrefix="1" applyFont="1"/>
    <xf numFmtId="0" fontId="0" fillId="0" borderId="41" xfId="0" applyBorder="1"/>
    <xf numFmtId="0" fontId="14" fillId="0" borderId="0" xfId="0" applyFont="1" applyAlignment="1">
      <alignment wrapText="1"/>
    </xf>
    <xf numFmtId="0" fontId="36" fillId="0" borderId="0" xfId="0" applyFont="1" applyAlignment="1">
      <alignment wrapText="1"/>
    </xf>
    <xf numFmtId="0" fontId="0" fillId="0" borderId="42" xfId="0" applyBorder="1"/>
    <xf numFmtId="0" fontId="5" fillId="0" borderId="0" xfId="0" applyFont="1" applyAlignment="1">
      <alignment horizontal="left"/>
    </xf>
    <xf numFmtId="0" fontId="0" fillId="25" borderId="43" xfId="0" applyFill="1" applyBorder="1" applyAlignment="1">
      <alignment horizontal="left"/>
    </xf>
    <xf numFmtId="0" fontId="0" fillId="25" borderId="40" xfId="0" applyFill="1" applyBorder="1" applyAlignment="1">
      <alignment horizontal="left"/>
    </xf>
    <xf numFmtId="0" fontId="0" fillId="25" borderId="44" xfId="0" applyFill="1" applyBorder="1" applyAlignment="1">
      <alignment horizontal="right"/>
    </xf>
    <xf numFmtId="0" fontId="42" fillId="0" borderId="0" xfId="0" applyFont="1" applyAlignment="1">
      <alignment horizontal="left"/>
    </xf>
    <xf numFmtId="0" fontId="2" fillId="0" borderId="17" xfId="0" applyFont="1" applyBorder="1"/>
    <xf numFmtId="0" fontId="0" fillId="0" borderId="0" xfId="0" applyAlignment="1">
      <alignment horizontal="right" vertical="top"/>
    </xf>
    <xf numFmtId="0" fontId="2" fillId="0" borderId="45" xfId="0" applyFont="1" applyBorder="1" applyAlignment="1">
      <alignment vertical="top"/>
    </xf>
    <xf numFmtId="0" fontId="0" fillId="0" borderId="45" xfId="0" applyBorder="1" applyAlignment="1">
      <alignment vertical="top" wrapText="1"/>
    </xf>
    <xf numFmtId="0" fontId="0" fillId="0" borderId="45" xfId="0" applyBorder="1" applyAlignment="1">
      <alignment horizontal="center" vertical="top"/>
    </xf>
    <xf numFmtId="3" fontId="0" fillId="0" borderId="45" xfId="0" applyNumberFormat="1" applyBorder="1" applyAlignment="1">
      <alignment horizontal="right" vertical="top"/>
    </xf>
    <xf numFmtId="0" fontId="4" fillId="0" borderId="45" xfId="0" applyFont="1" applyBorder="1" applyAlignment="1">
      <alignment vertical="top" wrapText="1"/>
    </xf>
    <xf numFmtId="3" fontId="4" fillId="0" borderId="45" xfId="0" applyNumberFormat="1" applyFont="1" applyBorder="1" applyAlignment="1">
      <alignment vertical="top"/>
    </xf>
    <xf numFmtId="0" fontId="2" fillId="0" borderId="45" xfId="0" applyFont="1" applyBorder="1" applyAlignment="1">
      <alignment vertical="top" wrapText="1"/>
    </xf>
    <xf numFmtId="4" fontId="0" fillId="0" borderId="45" xfId="0" applyNumberFormat="1" applyBorder="1" applyAlignment="1">
      <alignment horizontal="right" vertical="top"/>
    </xf>
    <xf numFmtId="4" fontId="4" fillId="0" borderId="45" xfId="0" applyNumberFormat="1" applyFont="1" applyBorder="1" applyAlignment="1">
      <alignment vertical="top"/>
    </xf>
    <xf numFmtId="1" fontId="0" fillId="0" borderId="45" xfId="0" applyNumberFormat="1" applyBorder="1" applyAlignment="1">
      <alignment horizontal="right" vertical="top"/>
    </xf>
    <xf numFmtId="0" fontId="0" fillId="0" borderId="45" xfId="0" applyBorder="1" applyAlignment="1">
      <alignment vertical="top"/>
    </xf>
    <xf numFmtId="0" fontId="3" fillId="0" borderId="45" xfId="0" applyFont="1" applyBorder="1" applyAlignment="1">
      <alignment vertical="top"/>
    </xf>
    <xf numFmtId="4" fontId="0" fillId="0" borderId="45" xfId="0" applyNumberFormat="1" applyBorder="1" applyAlignment="1">
      <alignment vertical="top"/>
    </xf>
    <xf numFmtId="2" fontId="0" fillId="0" borderId="45" xfId="0" applyNumberFormat="1" applyBorder="1" applyAlignment="1">
      <alignment vertical="top"/>
    </xf>
    <xf numFmtId="0" fontId="4" fillId="0" borderId="45" xfId="0" applyFont="1" applyBorder="1" applyAlignment="1">
      <alignment horizontal="center" vertical="top" wrapText="1"/>
    </xf>
    <xf numFmtId="4" fontId="4" fillId="0" borderId="45" xfId="0" applyNumberFormat="1" applyFont="1" applyBorder="1" applyAlignment="1">
      <alignment vertical="top" wrapText="1"/>
    </xf>
    <xf numFmtId="0" fontId="4" fillId="0" borderId="45" xfId="0" applyFont="1" applyBorder="1" applyAlignment="1">
      <alignment horizontal="center" vertical="top"/>
    </xf>
    <xf numFmtId="0" fontId="43" fillId="0" borderId="0" xfId="0" applyFont="1"/>
    <xf numFmtId="0" fontId="34" fillId="0" borderId="0" xfId="0" applyFont="1" applyAlignment="1">
      <alignment horizontal="left"/>
    </xf>
    <xf numFmtId="0" fontId="44" fillId="0" borderId="0" xfId="0" applyFont="1" applyAlignment="1">
      <alignment horizontal="left" indent="1"/>
    </xf>
    <xf numFmtId="0" fontId="10" fillId="0" borderId="0" xfId="0" applyFont="1" applyAlignment="1">
      <alignment wrapText="1"/>
    </xf>
    <xf numFmtId="0" fontId="34" fillId="0" borderId="0" xfId="0" applyFont="1" applyAlignment="1">
      <alignment horizontal="right"/>
    </xf>
    <xf numFmtId="0" fontId="18" fillId="0" borderId="0" xfId="37" applyFill="1" applyBorder="1" applyAlignment="1" applyProtection="1"/>
    <xf numFmtId="0" fontId="4" fillId="0" borderId="0" xfId="0" applyFont="1" applyAlignment="1">
      <alignment horizontal="left"/>
    </xf>
    <xf numFmtId="0" fontId="11" fillId="0" borderId="0" xfId="0" applyFont="1" applyAlignment="1">
      <alignment horizontal="left"/>
    </xf>
    <xf numFmtId="3" fontId="4" fillId="0" borderId="17" xfId="0" applyNumberFormat="1" applyFont="1" applyBorder="1"/>
    <xf numFmtId="2" fontId="4" fillId="0" borderId="46" xfId="0" applyNumberFormat="1" applyFont="1" applyBorder="1"/>
    <xf numFmtId="2" fontId="4" fillId="0" borderId="17" xfId="0" applyNumberFormat="1" applyFont="1" applyBorder="1"/>
    <xf numFmtId="2" fontId="4" fillId="0" borderId="14" xfId="0" applyNumberFormat="1" applyFont="1" applyBorder="1"/>
    <xf numFmtId="3" fontId="4" fillId="0" borderId="41" xfId="0" applyNumberFormat="1" applyFont="1" applyBorder="1"/>
    <xf numFmtId="3" fontId="4" fillId="23" borderId="10" xfId="0" applyNumberFormat="1" applyFont="1" applyFill="1" applyBorder="1"/>
    <xf numFmtId="3" fontId="4" fillId="0" borderId="14" xfId="0" applyNumberFormat="1" applyFont="1" applyBorder="1"/>
    <xf numFmtId="3" fontId="4" fillId="0" borderId="40" xfId="0" applyNumberFormat="1" applyFont="1" applyBorder="1"/>
    <xf numFmtId="3" fontId="4" fillId="24" borderId="10" xfId="0" applyNumberFormat="1" applyFont="1" applyFill="1" applyBorder="1"/>
    <xf numFmtId="3" fontId="4" fillId="23" borderId="13" xfId="0" applyNumberFormat="1" applyFont="1" applyFill="1" applyBorder="1"/>
    <xf numFmtId="3" fontId="26" fillId="0" borderId="0" xfId="0" applyNumberFormat="1" applyFont="1"/>
    <xf numFmtId="164" fontId="4" fillId="0" borderId="10" xfId="0" applyNumberFormat="1" applyFont="1" applyBorder="1"/>
    <xf numFmtId="49" fontId="4" fillId="0" borderId="0" xfId="0" applyNumberFormat="1" applyFont="1" applyAlignment="1" applyProtection="1">
      <alignment horizontal="right"/>
      <protection locked="0"/>
    </xf>
    <xf numFmtId="49" fontId="4" fillId="24" borderId="39" xfId="0" applyNumberFormat="1" applyFont="1" applyFill="1" applyBorder="1" applyAlignment="1" applyProtection="1">
      <alignment horizontal="right"/>
      <protection locked="0"/>
    </xf>
    <xf numFmtId="3" fontId="2" fillId="24" borderId="11" xfId="0" applyNumberFormat="1" applyFont="1" applyFill="1" applyBorder="1" applyProtection="1">
      <protection locked="0"/>
    </xf>
    <xf numFmtId="0" fontId="0" fillId="0" borderId="0" xfId="0" applyAlignment="1">
      <alignment horizontal="left" wrapText="1"/>
    </xf>
    <xf numFmtId="3" fontId="4" fillId="0" borderId="10" xfId="0" applyNumberFormat="1" applyFont="1" applyBorder="1" applyProtection="1">
      <protection locked="0"/>
    </xf>
    <xf numFmtId="3" fontId="0" fillId="0" borderId="13" xfId="0" applyNumberFormat="1" applyBorder="1"/>
    <xf numFmtId="0" fontId="14" fillId="0" borderId="0" xfId="0" applyFont="1" applyAlignment="1">
      <alignment horizontal="right"/>
    </xf>
    <xf numFmtId="1" fontId="4" fillId="24" borderId="39" xfId="0" applyNumberFormat="1" applyFont="1" applyFill="1" applyBorder="1" applyAlignment="1" applyProtection="1">
      <alignment horizontal="right"/>
      <protection locked="0"/>
    </xf>
    <xf numFmtId="0" fontId="47" fillId="0" borderId="0" xfId="0" applyFont="1"/>
    <xf numFmtId="0" fontId="47" fillId="0" borderId="0" xfId="0" applyFont="1" applyAlignment="1">
      <alignment vertical="top"/>
    </xf>
    <xf numFmtId="0" fontId="25" fillId="26" borderId="0" xfId="0" applyFont="1" applyFill="1"/>
    <xf numFmtId="0" fontId="24" fillId="26" borderId="0" xfId="0" applyFont="1" applyFill="1"/>
    <xf numFmtId="0" fontId="3" fillId="0" borderId="40" xfId="0" applyFont="1" applyBorder="1"/>
    <xf numFmtId="3" fontId="0" fillId="0" borderId="40" xfId="0" applyNumberFormat="1" applyBorder="1"/>
    <xf numFmtId="3" fontId="8" fillId="0" borderId="0" xfId="0" applyNumberFormat="1" applyFont="1" applyAlignment="1">
      <alignment horizontal="center"/>
    </xf>
    <xf numFmtId="3" fontId="8" fillId="0" borderId="40" xfId="0" applyNumberFormat="1" applyFont="1" applyBorder="1" applyAlignment="1">
      <alignment horizontal="center"/>
    </xf>
    <xf numFmtId="3" fontId="49" fillId="0" borderId="0" xfId="0" applyNumberFormat="1" applyFont="1"/>
    <xf numFmtId="3" fontId="49" fillId="0" borderId="40" xfId="0" applyNumberFormat="1" applyFont="1" applyBorder="1"/>
    <xf numFmtId="0" fontId="49" fillId="0" borderId="0" xfId="0" applyFont="1"/>
    <xf numFmtId="3" fontId="50" fillId="0" borderId="0" xfId="0" applyNumberFormat="1" applyFont="1"/>
    <xf numFmtId="0" fontId="11" fillId="0" borderId="40" xfId="0" applyFont="1" applyBorder="1"/>
    <xf numFmtId="3" fontId="50" fillId="0" borderId="40" xfId="0" applyNumberFormat="1" applyFont="1" applyBorder="1"/>
    <xf numFmtId="3" fontId="51" fillId="0" borderId="0" xfId="0" applyNumberFormat="1" applyFont="1"/>
    <xf numFmtId="0" fontId="0" fillId="0" borderId="47" xfId="0" applyBorder="1"/>
    <xf numFmtId="0" fontId="11" fillId="0" borderId="47" xfId="0" applyFont="1" applyBorder="1"/>
    <xf numFmtId="3" fontId="50" fillId="0" borderId="47" xfId="0" applyNumberFormat="1" applyFont="1" applyBorder="1"/>
    <xf numFmtId="3" fontId="11" fillId="0" borderId="40" xfId="0" applyNumberFormat="1" applyFont="1" applyBorder="1"/>
    <xf numFmtId="167" fontId="28" fillId="0" borderId="0" xfId="0" applyNumberFormat="1" applyFont="1" applyAlignment="1">
      <alignment horizontal="center"/>
    </xf>
    <xf numFmtId="3" fontId="47" fillId="0" borderId="0" xfId="0" applyNumberFormat="1" applyFont="1"/>
    <xf numFmtId="3" fontId="0" fillId="0" borderId="14" xfId="0" applyNumberFormat="1" applyBorder="1"/>
    <xf numFmtId="0" fontId="8" fillId="0" borderId="0" xfId="0" applyFont="1" applyAlignment="1">
      <alignment horizontal="center"/>
    </xf>
    <xf numFmtId="4" fontId="50" fillId="0" borderId="0" xfId="0" applyNumberFormat="1" applyFont="1"/>
    <xf numFmtId="3" fontId="50" fillId="0" borderId="14" xfId="0" applyNumberFormat="1" applyFont="1" applyBorder="1"/>
    <xf numFmtId="3" fontId="11" fillId="0" borderId="41" xfId="0" applyNumberFormat="1" applyFont="1" applyBorder="1"/>
    <xf numFmtId="0" fontId="0" fillId="0" borderId="0" xfId="0" applyAlignment="1">
      <alignment horizontal="center"/>
    </xf>
    <xf numFmtId="0" fontId="6" fillId="0" borderId="0" xfId="0" applyFont="1" applyAlignment="1">
      <alignment horizontal="center"/>
    </xf>
    <xf numFmtId="3" fontId="0" fillId="0" borderId="0" xfId="0" applyNumberFormat="1" applyAlignment="1">
      <alignment horizontal="center" vertical="top"/>
    </xf>
    <xf numFmtId="0" fontId="2" fillId="0" borderId="0" xfId="0" applyFont="1" applyAlignment="1">
      <alignment horizontal="center" vertical="top"/>
    </xf>
    <xf numFmtId="3" fontId="4" fillId="0" borderId="36" xfId="0" applyNumberFormat="1" applyFont="1" applyBorder="1" applyAlignment="1">
      <alignment vertical="center"/>
    </xf>
    <xf numFmtId="4" fontId="4" fillId="0" borderId="27" xfId="0" applyNumberFormat="1" applyFont="1" applyBorder="1" applyAlignment="1">
      <alignment horizontal="right" vertical="center" wrapText="1"/>
    </xf>
    <xf numFmtId="0" fontId="14" fillId="0" borderId="17" xfId="0" applyFont="1" applyBorder="1"/>
    <xf numFmtId="164" fontId="4" fillId="24" borderId="12" xfId="0" applyNumberFormat="1" applyFont="1" applyFill="1" applyBorder="1" applyProtection="1">
      <protection locked="0"/>
    </xf>
    <xf numFmtId="0" fontId="51" fillId="0" borderId="0" xfId="0" applyFont="1"/>
    <xf numFmtId="0" fontId="8" fillId="0" borderId="40" xfId="0" applyFont="1" applyBorder="1" applyAlignment="1">
      <alignment horizontal="center"/>
    </xf>
    <xf numFmtId="0" fontId="36" fillId="0" borderId="0" xfId="0" applyFont="1" applyAlignment="1">
      <alignment horizontal="center" vertical="top"/>
    </xf>
    <xf numFmtId="3" fontId="11" fillId="0" borderId="0" xfId="0" applyNumberFormat="1" applyFont="1"/>
    <xf numFmtId="1" fontId="36" fillId="0" borderId="0" xfId="0" applyNumberFormat="1" applyFont="1"/>
    <xf numFmtId="3" fontId="52" fillId="0" borderId="0" xfId="0" applyNumberFormat="1" applyFont="1"/>
    <xf numFmtId="0" fontId="53" fillId="0" borderId="0" xfId="0" applyFont="1"/>
    <xf numFmtId="3" fontId="53" fillId="0" borderId="0" xfId="0" applyNumberFormat="1" applyFont="1"/>
    <xf numFmtId="168" fontId="50" fillId="0" borderId="0" xfId="0" applyNumberFormat="1" applyFont="1" applyAlignment="1">
      <alignment horizontal="center"/>
    </xf>
    <xf numFmtId="0" fontId="36" fillId="0" borderId="0" xfId="0" applyFont="1" applyAlignment="1">
      <alignment vertical="top"/>
    </xf>
    <xf numFmtId="3" fontId="50" fillId="0" borderId="41" xfId="0" applyNumberFormat="1" applyFont="1" applyBorder="1"/>
    <xf numFmtId="3" fontId="0" fillId="0" borderId="0" xfId="0" applyNumberFormat="1" applyAlignment="1">
      <alignment horizontal="center"/>
    </xf>
    <xf numFmtId="3" fontId="36" fillId="0" borderId="14" xfId="0" applyNumberFormat="1" applyFont="1" applyBorder="1"/>
    <xf numFmtId="3" fontId="36" fillId="0" borderId="40" xfId="0" applyNumberFormat="1" applyFont="1" applyBorder="1"/>
    <xf numFmtId="3" fontId="36" fillId="0" borderId="41" xfId="0" applyNumberFormat="1" applyFont="1" applyBorder="1"/>
    <xf numFmtId="2" fontId="36" fillId="0" borderId="0" xfId="0" applyNumberFormat="1" applyFont="1"/>
    <xf numFmtId="4" fontId="52" fillId="0" borderId="0" xfId="0" applyNumberFormat="1" applyFont="1"/>
    <xf numFmtId="0" fontId="54" fillId="0" borderId="0" xfId="0" applyFont="1" applyAlignment="1">
      <alignment horizontal="center" vertical="top"/>
    </xf>
    <xf numFmtId="0" fontId="46" fillId="0" borderId="0" xfId="0" applyFont="1" applyAlignment="1">
      <alignment vertical="top" wrapText="1"/>
    </xf>
    <xf numFmtId="0" fontId="55" fillId="0" borderId="0" xfId="0" applyFont="1" applyAlignment="1">
      <alignment horizontal="center"/>
    </xf>
    <xf numFmtId="0" fontId="54" fillId="0" borderId="0" xfId="0" applyFont="1"/>
    <xf numFmtId="0" fontId="46" fillId="0" borderId="48" xfId="0" applyFont="1" applyBorder="1" applyAlignment="1">
      <alignment horizontal="center"/>
    </xf>
    <xf numFmtId="0" fontId="0" fillId="25" borderId="0" xfId="0" applyFill="1" applyAlignment="1">
      <alignment horizontal="center"/>
    </xf>
    <xf numFmtId="0" fontId="36" fillId="0" borderId="0" xfId="0" applyFont="1" applyAlignment="1">
      <alignment horizontal="center"/>
    </xf>
    <xf numFmtId="3" fontId="36" fillId="0" borderId="0" xfId="0" applyNumberFormat="1" applyFont="1" applyAlignment="1">
      <alignment horizontal="center" vertical="top"/>
    </xf>
    <xf numFmtId="4" fontId="36" fillId="0" borderId="0" xfId="0" applyNumberFormat="1" applyFont="1" applyAlignment="1">
      <alignment horizontal="center" vertical="top"/>
    </xf>
    <xf numFmtId="1" fontId="36" fillId="0" borderId="0" xfId="0" applyNumberFormat="1" applyFont="1" applyAlignment="1">
      <alignment horizontal="center" vertical="top"/>
    </xf>
    <xf numFmtId="2" fontId="36" fillId="0" borderId="0" xfId="0" applyNumberFormat="1" applyFont="1" applyAlignment="1">
      <alignment horizontal="center" vertical="top"/>
    </xf>
    <xf numFmtId="4" fontId="36" fillId="0" borderId="0" xfId="0" applyNumberFormat="1" applyFont="1" applyAlignment="1">
      <alignment horizontal="center" vertical="top" wrapText="1"/>
    </xf>
    <xf numFmtId="0" fontId="0" fillId="0" borderId="0" xfId="0" applyProtection="1">
      <protection locked="0"/>
    </xf>
    <xf numFmtId="3" fontId="0" fillId="0" borderId="0" xfId="0" applyNumberFormat="1" applyProtection="1">
      <protection locked="0"/>
    </xf>
    <xf numFmtId="0" fontId="30" fillId="0" borderId="0" xfId="0" applyFont="1" applyProtection="1">
      <protection locked="0"/>
    </xf>
    <xf numFmtId="0" fontId="0" fillId="0" borderId="0" xfId="0" quotePrefix="1" applyProtection="1">
      <protection locked="0"/>
    </xf>
    <xf numFmtId="0" fontId="3" fillId="0" borderId="40" xfId="0" applyFont="1" applyBorder="1" applyProtection="1">
      <protection locked="0"/>
    </xf>
    <xf numFmtId="0" fontId="0" fillId="0" borderId="40" xfId="0" applyBorder="1" applyProtection="1">
      <protection locked="0"/>
    </xf>
    <xf numFmtId="0" fontId="3" fillId="0" borderId="0" xfId="0" applyFont="1" applyProtection="1">
      <protection locked="0"/>
    </xf>
    <xf numFmtId="3" fontId="0" fillId="0" borderId="14" xfId="0" applyNumberFormat="1" applyBorder="1" applyProtection="1">
      <protection locked="0"/>
    </xf>
    <xf numFmtId="0" fontId="0" fillId="0" borderId="14" xfId="0" applyBorder="1" applyProtection="1">
      <protection locked="0"/>
    </xf>
    <xf numFmtId="3"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0" fontId="0" fillId="0" borderId="0" xfId="0" applyAlignment="1" applyProtection="1">
      <alignment horizontal="left"/>
      <protection locked="0"/>
    </xf>
    <xf numFmtId="3" fontId="8" fillId="0" borderId="40" xfId="0" applyNumberFormat="1" applyFont="1" applyBorder="1" applyAlignment="1" applyProtection="1">
      <alignment horizontal="center"/>
      <protection locked="0"/>
    </xf>
    <xf numFmtId="0" fontId="8" fillId="0" borderId="40" xfId="0" applyFont="1" applyBorder="1" applyAlignment="1" applyProtection="1">
      <alignment horizontal="center"/>
      <protection locked="0"/>
    </xf>
    <xf numFmtId="0" fontId="36" fillId="0" borderId="0" xfId="0" applyFont="1" applyAlignment="1" applyProtection="1">
      <alignment horizontal="center" vertical="top"/>
      <protection locked="0"/>
    </xf>
    <xf numFmtId="0" fontId="2" fillId="0" borderId="0" xfId="0" applyFont="1" applyProtection="1">
      <protection locked="0"/>
    </xf>
    <xf numFmtId="3" fontId="50" fillId="0" borderId="0" xfId="0" applyNumberFormat="1" applyFont="1" applyProtection="1">
      <protection locked="0"/>
    </xf>
    <xf numFmtId="0" fontId="0" fillId="0" borderId="0" xfId="0" applyAlignment="1" applyProtection="1">
      <alignment vertical="top"/>
      <protection locked="0"/>
    </xf>
    <xf numFmtId="0" fontId="0" fillId="26" borderId="0" xfId="0" applyFill="1" applyProtection="1">
      <protection locked="0"/>
    </xf>
    <xf numFmtId="3" fontId="50" fillId="0" borderId="40" xfId="0" applyNumberFormat="1" applyFont="1" applyBorder="1" applyProtection="1">
      <protection locked="0"/>
    </xf>
    <xf numFmtId="0" fontId="0" fillId="0" borderId="0" xfId="0" applyAlignment="1" applyProtection="1">
      <alignment horizontal="left" wrapText="1"/>
      <protection locked="0"/>
    </xf>
    <xf numFmtId="3" fontId="50" fillId="0" borderId="14" xfId="0" applyNumberFormat="1" applyFont="1" applyBorder="1" applyProtection="1">
      <protection locked="0"/>
    </xf>
    <xf numFmtId="3" fontId="50" fillId="0" borderId="49" xfId="0" applyNumberFormat="1" applyFont="1" applyBorder="1" applyProtection="1">
      <protection locked="0"/>
    </xf>
    <xf numFmtId="3" fontId="11" fillId="0" borderId="0" xfId="0" applyNumberFormat="1" applyFont="1" applyProtection="1">
      <protection locked="0"/>
    </xf>
    <xf numFmtId="3" fontId="36" fillId="0" borderId="0" xfId="0" applyNumberFormat="1" applyFont="1" applyProtection="1">
      <protection locked="0"/>
    </xf>
    <xf numFmtId="1" fontId="36" fillId="0" borderId="0" xfId="0" applyNumberFormat="1" applyFont="1" applyProtection="1">
      <protection locked="0"/>
    </xf>
    <xf numFmtId="3" fontId="52" fillId="0" borderId="0" xfId="0" applyNumberFormat="1" applyFont="1" applyProtection="1">
      <protection locked="0"/>
    </xf>
    <xf numFmtId="0" fontId="53" fillId="0" borderId="0" xfId="0" applyFont="1" applyProtection="1">
      <protection locked="0"/>
    </xf>
    <xf numFmtId="3" fontId="53" fillId="0" borderId="0" xfId="0" applyNumberFormat="1" applyFont="1" applyProtection="1">
      <protection locked="0"/>
    </xf>
    <xf numFmtId="0" fontId="4" fillId="0" borderId="0" xfId="0" applyFont="1" applyAlignment="1" applyProtection="1">
      <alignment wrapText="1"/>
      <protection locked="0"/>
    </xf>
    <xf numFmtId="0" fontId="2" fillId="0" borderId="0" xfId="0" applyFont="1" applyAlignment="1" applyProtection="1">
      <alignment vertical="top" wrapText="1"/>
      <protection locked="0"/>
    </xf>
    <xf numFmtId="0" fontId="4" fillId="0" borderId="0" xfId="0" applyFont="1" applyAlignment="1" applyProtection="1">
      <alignment vertical="top" wrapText="1"/>
      <protection locked="0"/>
    </xf>
    <xf numFmtId="3" fontId="50" fillId="0" borderId="41" xfId="0" applyNumberFormat="1" applyFont="1" applyBorder="1" applyProtection="1">
      <protection locked="0"/>
    </xf>
    <xf numFmtId="0" fontId="12" fillId="0" borderId="0" xfId="0" applyFont="1" applyAlignment="1">
      <alignment horizontal="right"/>
    </xf>
    <xf numFmtId="0" fontId="4" fillId="25" borderId="0" xfId="0" applyFont="1" applyFill="1" applyProtection="1">
      <protection locked="0"/>
    </xf>
    <xf numFmtId="0" fontId="46" fillId="0" borderId="0" xfId="0" applyFont="1" applyAlignment="1">
      <alignment horizontal="center"/>
    </xf>
    <xf numFmtId="0" fontId="56" fillId="0" borderId="0" xfId="0" applyFont="1" applyAlignment="1">
      <alignment vertical="center"/>
    </xf>
    <xf numFmtId="0" fontId="2"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center" vertical="center"/>
    </xf>
    <xf numFmtId="4" fontId="0" fillId="0" borderId="53" xfId="0" applyNumberFormat="1" applyBorder="1" applyAlignment="1">
      <alignment vertical="top"/>
    </xf>
    <xf numFmtId="1" fontId="4" fillId="24" borderId="10" xfId="0" applyNumberFormat="1" applyFont="1" applyFill="1" applyBorder="1"/>
    <xf numFmtId="0" fontId="57" fillId="0" borderId="0" xfId="0" applyFont="1"/>
    <xf numFmtId="3" fontId="4" fillId="0" borderId="0" xfId="0" quotePrefix="1" applyNumberFormat="1" applyFont="1"/>
    <xf numFmtId="0" fontId="2" fillId="23" borderId="45" xfId="0" applyFont="1" applyFill="1" applyBorder="1" applyAlignment="1">
      <alignment vertical="top"/>
    </xf>
    <xf numFmtId="0" fontId="4" fillId="23" borderId="45" xfId="0" applyFont="1" applyFill="1" applyBorder="1" applyAlignment="1">
      <alignment vertical="top" wrapText="1"/>
    </xf>
    <xf numFmtId="0" fontId="0" fillId="23" borderId="45" xfId="0" applyFill="1" applyBorder="1" applyAlignment="1">
      <alignment horizontal="center" vertical="top"/>
    </xf>
    <xf numFmtId="3" fontId="0" fillId="23" borderId="45" xfId="0" applyNumberFormat="1" applyFill="1" applyBorder="1" applyAlignment="1">
      <alignment horizontal="right" vertical="top"/>
    </xf>
    <xf numFmtId="0" fontId="2" fillId="23" borderId="45" xfId="0" applyFont="1" applyFill="1" applyBorder="1" applyAlignment="1">
      <alignment vertical="top" wrapText="1"/>
    </xf>
    <xf numFmtId="4" fontId="0" fillId="23" borderId="45" xfId="0" applyNumberFormat="1" applyFill="1" applyBorder="1" applyAlignment="1">
      <alignment vertical="top"/>
    </xf>
    <xf numFmtId="0" fontId="2" fillId="28" borderId="45" xfId="0" applyFont="1" applyFill="1" applyBorder="1" applyAlignment="1">
      <alignment vertical="top"/>
    </xf>
    <xf numFmtId="0" fontId="2" fillId="28" borderId="45" xfId="0" applyFont="1" applyFill="1" applyBorder="1" applyAlignment="1">
      <alignment vertical="top" wrapText="1"/>
    </xf>
    <xf numFmtId="0" fontId="4" fillId="28" borderId="45" xfId="0" applyFont="1" applyFill="1" applyBorder="1" applyAlignment="1">
      <alignment horizontal="center" vertical="top"/>
    </xf>
    <xf numFmtId="3" fontId="0" fillId="28" borderId="45" xfId="0" applyNumberFormat="1" applyFill="1" applyBorder="1" applyAlignment="1">
      <alignment horizontal="right" vertical="top"/>
    </xf>
    <xf numFmtId="3" fontId="11" fillId="0" borderId="0" xfId="0" applyNumberFormat="1" applyFont="1" applyAlignment="1">
      <alignment horizontal="center" vertical="top"/>
    </xf>
    <xf numFmtId="0" fontId="11" fillId="25" borderId="0" xfId="0" applyFont="1" applyFill="1" applyAlignment="1" applyProtection="1">
      <alignment wrapText="1"/>
      <protection locked="0"/>
    </xf>
    <xf numFmtId="0" fontId="58" fillId="0" borderId="0" xfId="0" applyFont="1" applyAlignment="1">
      <alignment horizontal="center" wrapText="1"/>
    </xf>
    <xf numFmtId="0" fontId="10" fillId="0" borderId="0" xfId="0" applyFont="1" applyAlignment="1">
      <alignment horizontal="left" vertical="top" indent="2"/>
    </xf>
    <xf numFmtId="0" fontId="4" fillId="0" borderId="0" xfId="0" applyFont="1" applyAlignment="1">
      <alignment horizontal="left" vertical="top" wrapText="1" indent="1"/>
    </xf>
    <xf numFmtId="0" fontId="11" fillId="29" borderId="0" xfId="0" applyFont="1" applyFill="1" applyAlignment="1" applyProtection="1">
      <alignment vertical="top"/>
      <protection locked="0"/>
    </xf>
    <xf numFmtId="0" fontId="11" fillId="0" borderId="0" xfId="0" applyFont="1" applyAlignment="1">
      <alignment vertical="top"/>
    </xf>
    <xf numFmtId="1" fontId="11" fillId="29" borderId="0" xfId="0" applyNumberFormat="1" applyFont="1" applyFill="1" applyAlignment="1" applyProtection="1">
      <alignment horizontal="right" vertical="top"/>
      <protection locked="0"/>
    </xf>
    <xf numFmtId="0" fontId="52" fillId="29" borderId="0" xfId="0" applyFont="1" applyFill="1" applyAlignment="1" applyProtection="1">
      <alignment vertical="top"/>
      <protection locked="0"/>
    </xf>
    <xf numFmtId="0" fontId="25" fillId="28" borderId="0" xfId="0" applyFont="1" applyFill="1"/>
    <xf numFmtId="0" fontId="24" fillId="28" borderId="0" xfId="0" applyFont="1" applyFill="1"/>
    <xf numFmtId="0" fontId="79" fillId="0" borderId="0" xfId="0" applyFont="1"/>
    <xf numFmtId="0" fontId="10" fillId="0" borderId="0" xfId="0" applyFont="1" applyAlignment="1">
      <alignment horizontal="left" vertical="center" wrapText="1" indent="1"/>
    </xf>
    <xf numFmtId="0" fontId="11" fillId="29" borderId="0" xfId="0" applyFont="1" applyFill="1" applyAlignment="1" applyProtection="1">
      <alignment vertical="top" wrapText="1"/>
      <protection locked="0"/>
    </xf>
    <xf numFmtId="0" fontId="80" fillId="0" borderId="0" xfId="0" applyFont="1" applyAlignment="1">
      <alignment vertical="top"/>
    </xf>
    <xf numFmtId="0" fontId="0" fillId="25" borderId="0" xfId="0" applyFill="1" applyProtection="1">
      <protection locked="0"/>
    </xf>
    <xf numFmtId="0" fontId="34" fillId="25" borderId="0" xfId="0" applyFont="1" applyFill="1" applyProtection="1">
      <protection locked="0"/>
    </xf>
    <xf numFmtId="0" fontId="49" fillId="25" borderId="0" xfId="0" applyFont="1" applyFill="1" applyAlignment="1">
      <alignment horizontal="center"/>
    </xf>
    <xf numFmtId="0" fontId="15" fillId="0" borderId="0" xfId="0" applyFont="1"/>
    <xf numFmtId="0" fontId="11" fillId="25" borderId="0" xfId="0" applyFont="1" applyFill="1" applyProtection="1">
      <protection locked="0"/>
    </xf>
    <xf numFmtId="4" fontId="11" fillId="0" borderId="0" xfId="0" applyNumberFormat="1" applyFont="1" applyAlignment="1">
      <alignment horizontal="center" vertical="top"/>
    </xf>
    <xf numFmtId="3" fontId="2" fillId="0" borderId="0" xfId="0" applyNumberFormat="1" applyFont="1" applyAlignment="1">
      <alignment horizontal="center"/>
    </xf>
    <xf numFmtId="3" fontId="51" fillId="0" borderId="0" xfId="0" applyNumberFormat="1" applyFont="1" applyAlignment="1">
      <alignment horizontal="center"/>
    </xf>
    <xf numFmtId="3" fontId="2" fillId="0" borderId="40" xfId="0" applyNumberFormat="1" applyFont="1" applyBorder="1" applyAlignment="1">
      <alignment horizontal="center"/>
    </xf>
    <xf numFmtId="0" fontId="12" fillId="0" borderId="40" xfId="0" applyFont="1" applyBorder="1" applyAlignment="1">
      <alignment horizontal="center"/>
    </xf>
    <xf numFmtId="0" fontId="4" fillId="0" borderId="0" xfId="0" quotePrefix="1" applyFont="1" applyAlignment="1">
      <alignment horizontal="right"/>
    </xf>
    <xf numFmtId="2" fontId="12" fillId="0" borderId="0" xfId="0" applyNumberFormat="1" applyFont="1"/>
    <xf numFmtId="3" fontId="51" fillId="0" borderId="14" xfId="0" applyNumberFormat="1" applyFont="1" applyBorder="1"/>
    <xf numFmtId="4" fontId="12" fillId="0" borderId="14" xfId="0" applyNumberFormat="1" applyFont="1" applyBorder="1"/>
    <xf numFmtId="1" fontId="11" fillId="0" borderId="0" xfId="0" applyNumberFormat="1" applyFont="1"/>
    <xf numFmtId="3" fontId="51" fillId="0" borderId="41" xfId="0" applyNumberFormat="1" applyFont="1" applyBorder="1"/>
    <xf numFmtId="3" fontId="11" fillId="0" borderId="14" xfId="0" applyNumberFormat="1" applyFont="1" applyBorder="1"/>
    <xf numFmtId="3" fontId="12" fillId="0" borderId="0" xfId="0" applyNumberFormat="1" applyFont="1" applyAlignment="1">
      <alignment horizontal="center"/>
    </xf>
    <xf numFmtId="165" fontId="12" fillId="0" borderId="0" xfId="0" applyNumberFormat="1" applyFont="1"/>
    <xf numFmtId="2" fontId="12" fillId="0" borderId="14" xfId="0" applyNumberFormat="1" applyFont="1" applyBorder="1"/>
    <xf numFmtId="2" fontId="12" fillId="0" borderId="40" xfId="0" applyNumberFormat="1" applyFont="1" applyBorder="1"/>
    <xf numFmtId="2" fontId="2" fillId="0" borderId="0" xfId="0" applyNumberFormat="1" applyFont="1"/>
    <xf numFmtId="165" fontId="59" fillId="0" borderId="0" xfId="0" applyNumberFormat="1" applyFont="1"/>
    <xf numFmtId="2" fontId="59" fillId="0" borderId="0" xfId="0" applyNumberFormat="1" applyFont="1"/>
    <xf numFmtId="0" fontId="52" fillId="0" borderId="0" xfId="0" applyFont="1"/>
    <xf numFmtId="4" fontId="59" fillId="0" borderId="0" xfId="0" applyNumberFormat="1" applyFont="1"/>
    <xf numFmtId="3" fontId="2" fillId="0" borderId="41" xfId="0" applyNumberFormat="1" applyFont="1" applyBorder="1"/>
    <xf numFmtId="3" fontId="2" fillId="0" borderId="48" xfId="0" applyNumberFormat="1" applyFont="1" applyBorder="1"/>
    <xf numFmtId="3" fontId="49" fillId="0" borderId="0" xfId="0" applyNumberFormat="1" applyFont="1" applyAlignment="1">
      <alignment horizontal="center"/>
    </xf>
    <xf numFmtId="3" fontId="49" fillId="0" borderId="40" xfId="0" applyNumberFormat="1" applyFont="1" applyBorder="1" applyAlignment="1">
      <alignment horizontal="center"/>
    </xf>
    <xf numFmtId="169" fontId="49" fillId="0" borderId="40" xfId="0" applyNumberFormat="1" applyFont="1" applyBorder="1"/>
    <xf numFmtId="170" fontId="2" fillId="0" borderId="0" xfId="0" applyNumberFormat="1" applyFont="1"/>
    <xf numFmtId="1" fontId="59" fillId="0" borderId="0" xfId="0" applyNumberFormat="1" applyFont="1"/>
    <xf numFmtId="171" fontId="2" fillId="0" borderId="0" xfId="0" applyNumberFormat="1" applyFont="1"/>
    <xf numFmtId="0" fontId="60" fillId="0" borderId="0" xfId="0" applyFont="1" applyAlignment="1">
      <alignment horizontal="left" vertical="top"/>
    </xf>
    <xf numFmtId="0" fontId="60" fillId="0" borderId="0" xfId="0" applyFont="1" applyAlignment="1">
      <alignment horizontal="left"/>
    </xf>
    <xf numFmtId="0" fontId="9" fillId="0" borderId="38" xfId="0" applyFont="1" applyBorder="1" applyAlignment="1">
      <alignment horizontal="left" vertical="top"/>
    </xf>
    <xf numFmtId="0" fontId="9" fillId="0" borderId="38" xfId="0" applyFont="1" applyBorder="1" applyAlignment="1">
      <alignment horizontal="left" vertical="top" wrapText="1"/>
    </xf>
    <xf numFmtId="0" fontId="9" fillId="0" borderId="0" xfId="0" applyFont="1" applyAlignment="1">
      <alignment horizontal="right" vertical="top"/>
    </xf>
    <xf numFmtId="0" fontId="4" fillId="0" borderId="38" xfId="0" applyFont="1" applyBorder="1" applyAlignment="1">
      <alignment horizontal="left" vertical="top"/>
    </xf>
    <xf numFmtId="0" fontId="4" fillId="0" borderId="38" xfId="0" applyFont="1" applyBorder="1" applyAlignment="1">
      <alignment horizontal="left" vertical="top" wrapText="1"/>
    </xf>
    <xf numFmtId="0" fontId="4" fillId="0" borderId="0" xfId="0" applyFont="1" applyAlignment="1">
      <alignment horizontal="right" vertical="top"/>
    </xf>
    <xf numFmtId="0" fontId="3" fillId="0" borderId="38" xfId="0" applyFont="1" applyBorder="1" applyAlignment="1">
      <alignment horizontal="left" vertical="top"/>
    </xf>
    <xf numFmtId="0" fontId="4" fillId="0" borderId="0" xfId="0" applyFont="1" applyAlignment="1">
      <alignment vertical="top"/>
    </xf>
    <xf numFmtId="0" fontId="3" fillId="0" borderId="38" xfId="0" applyFont="1" applyBorder="1" applyAlignment="1">
      <alignment vertical="top"/>
    </xf>
    <xf numFmtId="0" fontId="4" fillId="0" borderId="38" xfId="0" applyFont="1" applyBorder="1" applyAlignment="1">
      <alignment vertical="top"/>
    </xf>
    <xf numFmtId="0" fontId="2" fillId="0" borderId="38" xfId="0" applyFont="1" applyBorder="1" applyAlignment="1">
      <alignment vertical="top"/>
    </xf>
    <xf numFmtId="0" fontId="4" fillId="0" borderId="38" xfId="0" applyFont="1" applyBorder="1" applyAlignment="1">
      <alignment vertical="top" wrapText="1"/>
    </xf>
    <xf numFmtId="0" fontId="4" fillId="0" borderId="38" xfId="0" applyFont="1" applyBorder="1" applyAlignment="1">
      <alignment horizontal="center" vertical="top"/>
    </xf>
    <xf numFmtId="3" fontId="4" fillId="0" borderId="38" xfId="0" applyNumberFormat="1" applyFont="1" applyBorder="1" applyAlignment="1">
      <alignment horizontal="left" vertical="top" wrapText="1"/>
    </xf>
    <xf numFmtId="0" fontId="2" fillId="0" borderId="38" xfId="0" applyFont="1" applyBorder="1" applyAlignment="1">
      <alignment vertical="top" wrapText="1"/>
    </xf>
    <xf numFmtId="0" fontId="4" fillId="0" borderId="38" xfId="0" quotePrefix="1" applyFont="1" applyBorder="1" applyAlignment="1">
      <alignment horizontal="left" vertical="top" wrapText="1"/>
    </xf>
    <xf numFmtId="0" fontId="4" fillId="0" borderId="38" xfId="43" applyFont="1" applyBorder="1" applyAlignment="1">
      <alignment horizontal="left" vertical="top" wrapText="1"/>
    </xf>
    <xf numFmtId="1" fontId="4" fillId="0" borderId="38" xfId="0" applyNumberFormat="1" applyFont="1" applyBorder="1" applyAlignment="1">
      <alignment horizontal="left" vertical="top" wrapText="1"/>
    </xf>
    <xf numFmtId="0" fontId="4" fillId="0" borderId="38" xfId="0" applyFont="1" applyBorder="1" applyAlignment="1">
      <alignment horizontal="center" vertical="top" wrapText="1"/>
    </xf>
    <xf numFmtId="1" fontId="4" fillId="0" borderId="0" xfId="0" applyNumberFormat="1" applyFont="1" applyAlignment="1">
      <alignment horizontal="right"/>
    </xf>
    <xf numFmtId="1" fontId="4" fillId="0" borderId="0" xfId="0" applyNumberFormat="1" applyFont="1"/>
    <xf numFmtId="0" fontId="12" fillId="0" borderId="38" xfId="0" applyFont="1" applyBorder="1" applyAlignment="1">
      <alignment vertical="top"/>
    </xf>
    <xf numFmtId="0" fontId="2" fillId="0" borderId="38" xfId="0" applyFont="1" applyBorder="1" applyAlignment="1">
      <alignment horizontal="left" vertical="center" wrapText="1"/>
    </xf>
    <xf numFmtId="0" fontId="4" fillId="0" borderId="38" xfId="0" applyFont="1" applyBorder="1" applyAlignment="1">
      <alignment horizontal="left" vertical="center" wrapText="1"/>
    </xf>
    <xf numFmtId="0" fontId="4" fillId="0" borderId="38" xfId="43" applyFont="1" applyBorder="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horizontal="center" vertical="top"/>
    </xf>
    <xf numFmtId="3" fontId="4" fillId="0" borderId="0" xfId="0" applyNumberFormat="1" applyFont="1" applyAlignment="1">
      <alignment horizontal="left" vertical="top" wrapText="1"/>
    </xf>
    <xf numFmtId="3" fontId="11" fillId="0" borderId="0" xfId="0" applyNumberFormat="1" applyFont="1" applyAlignment="1">
      <alignment horizontal="left" vertical="top"/>
    </xf>
    <xf numFmtId="0" fontId="4" fillId="0" borderId="0" xfId="0" applyFont="1" applyAlignment="1">
      <alignment horizontal="left" vertical="top"/>
    </xf>
    <xf numFmtId="2" fontId="1" fillId="0" borderId="45" xfId="0" applyNumberFormat="1" applyFont="1" applyBorder="1" applyAlignment="1">
      <alignment vertical="top"/>
    </xf>
    <xf numFmtId="0" fontId="12" fillId="0" borderId="45" xfId="0" applyFont="1" applyBorder="1" applyAlignment="1">
      <alignment vertical="top"/>
    </xf>
    <xf numFmtId="2" fontId="4" fillId="0" borderId="45" xfId="0" applyNumberFormat="1" applyFont="1" applyBorder="1" applyAlignment="1">
      <alignment vertical="top"/>
    </xf>
    <xf numFmtId="0" fontId="2" fillId="0" borderId="54" xfId="0" applyFont="1" applyBorder="1" applyAlignment="1">
      <alignment vertical="top"/>
    </xf>
    <xf numFmtId="3" fontId="0" fillId="0" borderId="45" xfId="0" applyNumberFormat="1" applyBorder="1" applyAlignment="1">
      <alignment vertical="top"/>
    </xf>
    <xf numFmtId="0" fontId="4" fillId="0" borderId="45" xfId="0" applyFont="1" applyBorder="1" applyAlignment="1">
      <alignment vertical="top"/>
    </xf>
    <xf numFmtId="0" fontId="80" fillId="0" borderId="0" xfId="0" applyFont="1" applyAlignment="1">
      <alignment horizontal="left" vertical="top"/>
    </xf>
    <xf numFmtId="0" fontId="4" fillId="0" borderId="0" xfId="0" quotePrefix="1" applyFont="1" applyAlignment="1">
      <alignment wrapText="1"/>
    </xf>
    <xf numFmtId="0" fontId="12" fillId="0" borderId="0" xfId="0" applyFont="1" applyAlignment="1">
      <alignment horizontal="center"/>
    </xf>
    <xf numFmtId="1" fontId="51" fillId="0" borderId="0" xfId="0" applyNumberFormat="1" applyFont="1" applyAlignment="1" applyProtection="1">
      <alignment horizontal="center"/>
      <protection locked="0"/>
    </xf>
    <xf numFmtId="1" fontId="12" fillId="0" borderId="0" xfId="0" applyNumberFormat="1" applyFont="1" applyAlignment="1" applyProtection="1">
      <alignment horizontal="center"/>
      <protection locked="0"/>
    </xf>
    <xf numFmtId="4" fontId="51" fillId="0" borderId="0" xfId="0" applyNumberFormat="1" applyFont="1" applyAlignment="1">
      <alignment horizontal="center"/>
    </xf>
    <xf numFmtId="4" fontId="12" fillId="0" borderId="0" xfId="0" applyNumberFormat="1" applyFont="1"/>
    <xf numFmtId="3" fontId="12" fillId="0" borderId="0" xfId="0" applyNumberFormat="1" applyFont="1"/>
    <xf numFmtId="4" fontId="12" fillId="0" borderId="0" xfId="0" applyNumberFormat="1" applyFont="1" applyProtection="1">
      <protection locked="0"/>
    </xf>
    <xf numFmtId="1" fontId="51" fillId="0" borderId="0" xfId="0" applyNumberFormat="1" applyFont="1" applyAlignment="1">
      <alignment horizontal="left"/>
    </xf>
    <xf numFmtId="1" fontId="12" fillId="0" borderId="0" xfId="0" applyNumberFormat="1" applyFont="1" applyAlignment="1">
      <alignment horizontal="center"/>
    </xf>
    <xf numFmtId="1" fontId="51" fillId="0" borderId="0" xfId="0" applyNumberFormat="1" applyFont="1" applyAlignment="1">
      <alignment horizontal="center"/>
    </xf>
    <xf numFmtId="3" fontId="12" fillId="0" borderId="0" xfId="0" applyNumberFormat="1" applyFont="1" applyAlignment="1">
      <alignment horizontal="right"/>
    </xf>
    <xf numFmtId="4" fontId="12" fillId="0" borderId="0" xfId="0" applyNumberFormat="1" applyFont="1" applyAlignment="1">
      <alignment horizontal="right"/>
    </xf>
    <xf numFmtId="10" fontId="12" fillId="0" borderId="0" xfId="0" applyNumberFormat="1" applyFont="1" applyAlignment="1">
      <alignment horizontal="right"/>
    </xf>
    <xf numFmtId="10" fontId="12" fillId="0" borderId="0" xfId="0" applyNumberFormat="1" applyFont="1"/>
    <xf numFmtId="1" fontId="4" fillId="24" borderId="10" xfId="37" quotePrefix="1" applyNumberFormat="1" applyFont="1" applyFill="1" applyBorder="1" applyAlignment="1" applyProtection="1">
      <protection locked="0"/>
    </xf>
    <xf numFmtId="0" fontId="4" fillId="24" borderId="10" xfId="0" applyFont="1" applyFill="1" applyBorder="1" applyProtection="1">
      <protection locked="0"/>
    </xf>
    <xf numFmtId="0" fontId="12" fillId="30" borderId="0" xfId="0" applyFont="1" applyFill="1"/>
    <xf numFmtId="0" fontId="12" fillId="30" borderId="0" xfId="0" applyFont="1" applyFill="1" applyAlignment="1">
      <alignment horizontal="center"/>
    </xf>
    <xf numFmtId="4" fontId="12" fillId="30" borderId="0" xfId="0" applyNumberFormat="1" applyFont="1" applyFill="1"/>
    <xf numFmtId="3" fontId="12" fillId="30" borderId="0" xfId="0" applyNumberFormat="1" applyFont="1" applyFill="1"/>
    <xf numFmtId="4" fontId="12" fillId="30" borderId="0" xfId="0" applyNumberFormat="1" applyFont="1" applyFill="1" applyAlignment="1">
      <alignment horizontal="right"/>
    </xf>
    <xf numFmtId="10" fontId="12" fillId="30" borderId="0" xfId="0" applyNumberFormat="1" applyFont="1" applyFill="1" applyAlignment="1">
      <alignment horizontal="right"/>
    </xf>
    <xf numFmtId="4" fontId="12" fillId="30" borderId="0" xfId="0" applyNumberFormat="1" applyFont="1" applyFill="1" applyAlignment="1">
      <alignment horizontal="center"/>
    </xf>
    <xf numFmtId="0" fontId="2" fillId="28" borderId="0" xfId="0" applyFont="1" applyFill="1"/>
    <xf numFmtId="0" fontId="0" fillId="28" borderId="0" xfId="0" applyFill="1"/>
    <xf numFmtId="0" fontId="11" fillId="0" borderId="0" xfId="0" applyFont="1" applyAlignment="1">
      <alignment horizontal="left" wrapText="1" indent="2"/>
    </xf>
    <xf numFmtId="0" fontId="47" fillId="0" borderId="0" xfId="0" applyFont="1" applyAlignment="1">
      <alignment horizontal="center" vertical="top"/>
    </xf>
    <xf numFmtId="0" fontId="11" fillId="0" borderId="0" xfId="0" applyFont="1" applyAlignment="1">
      <alignment horizontal="left" wrapText="1"/>
    </xf>
    <xf numFmtId="0" fontId="0" fillId="0" borderId="0" xfId="0"/>
    <xf numFmtId="0" fontId="35" fillId="24" borderId="12" xfId="0" applyFont="1" applyFill="1" applyBorder="1" applyAlignment="1">
      <alignment horizontal="center"/>
    </xf>
    <xf numFmtId="0" fontId="35" fillId="24" borderId="41" xfId="0" applyFont="1" applyFill="1" applyBorder="1" applyAlignment="1">
      <alignment horizontal="center"/>
    </xf>
    <xf numFmtId="0" fontId="35" fillId="24" borderId="15" xfId="0" applyFont="1" applyFill="1" applyBorder="1" applyAlignment="1">
      <alignment horizontal="center"/>
    </xf>
    <xf numFmtId="0" fontId="4" fillId="27" borderId="12" xfId="0" applyFont="1" applyFill="1" applyBorder="1" applyAlignment="1" applyProtection="1">
      <alignment horizontal="right"/>
      <protection locked="0"/>
    </xf>
    <xf numFmtId="0" fontId="4" fillId="27" borderId="15" xfId="0" applyFont="1" applyFill="1" applyBorder="1" applyAlignment="1" applyProtection="1">
      <alignment horizontal="right"/>
      <protection locked="0"/>
    </xf>
    <xf numFmtId="0" fontId="11" fillId="0" borderId="17" xfId="0" applyFont="1" applyBorder="1" applyAlignment="1">
      <alignment horizontal="right"/>
    </xf>
    <xf numFmtId="0" fontId="11" fillId="0" borderId="0" xfId="0" applyFont="1" applyAlignment="1">
      <alignment horizontal="right"/>
    </xf>
    <xf numFmtId="0" fontId="4" fillId="24" borderId="12" xfId="0" applyFont="1" applyFill="1" applyBorder="1" applyAlignment="1" applyProtection="1">
      <alignment horizontal="left"/>
      <protection locked="0"/>
    </xf>
    <xf numFmtId="0" fontId="4" fillId="24" borderId="41" xfId="0" applyFont="1" applyFill="1" applyBorder="1" applyAlignment="1" applyProtection="1">
      <alignment horizontal="left"/>
      <protection locked="0"/>
    </xf>
    <xf numFmtId="0" fontId="4" fillId="24" borderId="15" xfId="0" applyFont="1" applyFill="1" applyBorder="1" applyAlignment="1" applyProtection="1">
      <alignment horizontal="left"/>
      <protection locked="0"/>
    </xf>
    <xf numFmtId="0" fontId="18" fillId="24" borderId="12" xfId="37" applyFill="1" applyBorder="1" applyAlignment="1" applyProtection="1">
      <alignment horizontal="left"/>
      <protection locked="0"/>
    </xf>
    <xf numFmtId="0" fontId="18" fillId="24" borderId="41" xfId="37" applyFill="1" applyBorder="1" applyAlignment="1" applyProtection="1">
      <alignment horizontal="left"/>
      <protection locked="0"/>
    </xf>
    <xf numFmtId="0" fontId="18" fillId="24" borderId="15" xfId="37" applyFill="1" applyBorder="1" applyAlignment="1" applyProtection="1">
      <alignment horizontal="left"/>
      <protection locked="0"/>
    </xf>
    <xf numFmtId="49" fontId="4" fillId="24" borderId="12" xfId="0" applyNumberFormat="1" applyFont="1" applyFill="1" applyBorder="1" applyAlignment="1" applyProtection="1">
      <alignment horizontal="right"/>
      <protection locked="0"/>
    </xf>
    <xf numFmtId="49" fontId="4" fillId="24" borderId="15" xfId="0" applyNumberFormat="1" applyFont="1" applyFill="1" applyBorder="1" applyAlignment="1" applyProtection="1">
      <alignment horizontal="right"/>
      <protection locked="0"/>
    </xf>
    <xf numFmtId="0" fontId="0" fillId="0" borderId="0" xfId="0" applyAlignment="1">
      <alignment horizontal="left" wrapText="1"/>
    </xf>
    <xf numFmtId="0" fontId="3" fillId="25" borderId="55" xfId="0" applyFont="1" applyFill="1" applyBorder="1" applyAlignment="1">
      <alignment horizontal="center"/>
    </xf>
    <xf numFmtId="0" fontId="3" fillId="25" borderId="14" xfId="0" applyFont="1" applyFill="1" applyBorder="1" applyAlignment="1">
      <alignment horizontal="center"/>
    </xf>
    <xf numFmtId="0" fontId="3" fillId="25" borderId="56" xfId="0" applyFont="1" applyFill="1" applyBorder="1" applyAlignment="1">
      <alignment horizontal="center"/>
    </xf>
    <xf numFmtId="0" fontId="3" fillId="0" borderId="45" xfId="0" applyFont="1" applyBorder="1" applyAlignment="1">
      <alignment horizontal="left" vertical="top" wrapText="1"/>
    </xf>
    <xf numFmtId="0" fontId="60" fillId="0" borderId="0" xfId="0" applyFont="1" applyAlignment="1">
      <alignment horizontal="left" vertical="top" wrapText="1"/>
    </xf>
    <xf numFmtId="0" fontId="60" fillId="0" borderId="0" xfId="0" applyFont="1" applyAlignment="1">
      <alignment horizontal="left" vertical="top"/>
    </xf>
    <xf numFmtId="0" fontId="0" fillId="0" borderId="0" xfId="0" applyAlignment="1">
      <alignment vertical="top" wrapText="1"/>
    </xf>
  </cellXfs>
  <cellStyles count="4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Buchungsbeleg" xfId="26" xr:uid="{00000000-0005-0000-0000-000019000000}"/>
    <cellStyle name="Calculation" xfId="27" xr:uid="{00000000-0005-0000-0000-00001A000000}"/>
    <cellStyle name="Check Cell" xfId="28" xr:uid="{00000000-0005-0000-0000-00001B000000}"/>
    <cellStyle name="Euro" xfId="29" xr:uid="{00000000-0005-0000-0000-00001C000000}"/>
    <cellStyle name="Explanatory Text" xfId="30" xr:uid="{00000000-0005-0000-0000-00001D000000}"/>
    <cellStyle name="Good" xfId="31" xr:uid="{00000000-0005-0000-0000-00001E000000}"/>
    <cellStyle name="Heading 1" xfId="32" xr:uid="{00000000-0005-0000-0000-00001F000000}"/>
    <cellStyle name="Heading 2" xfId="33" xr:uid="{00000000-0005-0000-0000-000020000000}"/>
    <cellStyle name="Heading 3" xfId="34" xr:uid="{00000000-0005-0000-0000-000021000000}"/>
    <cellStyle name="Heading 4" xfId="35" xr:uid="{00000000-0005-0000-0000-000022000000}"/>
    <cellStyle name="Input" xfId="36" xr:uid="{00000000-0005-0000-0000-000023000000}"/>
    <cellStyle name="Link" xfId="37" builtinId="8"/>
    <cellStyle name="Linked Cell" xfId="38" xr:uid="{00000000-0005-0000-0000-000025000000}"/>
    <cellStyle name="Note" xfId="39" xr:uid="{00000000-0005-0000-0000-000026000000}"/>
    <cellStyle name="Output" xfId="40" xr:uid="{00000000-0005-0000-0000-000027000000}"/>
    <cellStyle name="Standard" xfId="0" builtinId="0"/>
    <cellStyle name="Standard 2" xfId="41" xr:uid="{00000000-0005-0000-0000-000029000000}"/>
    <cellStyle name="Standard Times" xfId="42" xr:uid="{00000000-0005-0000-0000-00002A000000}"/>
    <cellStyle name="Standard_Tabelle1" xfId="43" xr:uid="{00000000-0005-0000-0000-00002B000000}"/>
    <cellStyle name="Title" xfId="44" xr:uid="{00000000-0005-0000-0000-00002C000000}"/>
    <cellStyle name="Total" xfId="45" xr:uid="{00000000-0005-0000-0000-00002D000000}"/>
    <cellStyle name="Warning Text" xfId="46" xr:uid="{00000000-0005-0000-0000-00002E000000}"/>
  </cellStyles>
  <dxfs count="1">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CD5A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D5A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6350</xdr:colOff>
      <xdr:row>101</xdr:row>
      <xdr:rowOff>25400</xdr:rowOff>
    </xdr:from>
    <xdr:to>
      <xdr:col>2</xdr:col>
      <xdr:colOff>314110</xdr:colOff>
      <xdr:row>110</xdr:row>
      <xdr:rowOff>91</xdr:rowOff>
    </xdr:to>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171450" y="9096375"/>
          <a:ext cx="1962150" cy="155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sng" strike="noStrike">
              <a:solidFill>
                <a:srgbClr val="000000"/>
              </a:solidFill>
              <a:latin typeface="Arial"/>
              <a:cs typeface="Arial"/>
            </a:rPr>
            <a:t>Anmerkung:</a:t>
          </a:r>
          <a:r>
            <a:rPr lang="de-DE" sz="800" b="0" i="0" strike="noStrike">
              <a:solidFill>
                <a:srgbClr val="000000"/>
              </a:solidFill>
              <a:latin typeface="Arial"/>
              <a:cs typeface="Arial"/>
            </a:rPr>
            <a:t> </a:t>
          </a:r>
        </a:p>
        <a:p>
          <a:pPr algn="l" rtl="0">
            <a:defRPr sz="1000"/>
          </a:pPr>
          <a:r>
            <a:rPr lang="de-DE" sz="800" b="0" i="0" strike="noStrike">
              <a:solidFill>
                <a:srgbClr val="000000"/>
              </a:solidFill>
              <a:latin typeface="Arial"/>
              <a:cs typeface="Arial"/>
            </a:rPr>
            <a:t>Anzugeben ist der Personalbestand im Jahresdurchschnitt. Bei "0" bitte keine Eingabe! </a:t>
          </a:r>
        </a:p>
        <a:p>
          <a:pPr algn="l" rtl="0">
            <a:defRPr sz="1000"/>
          </a:pPr>
          <a:r>
            <a:rPr lang="de-DE" sz="800" b="1" i="0" strike="noStrike">
              <a:solidFill>
                <a:srgbClr val="FF0000"/>
              </a:solidFill>
              <a:latin typeface="Arial"/>
              <a:cs typeface="Arial"/>
            </a:rPr>
            <a:t>Nebenberuflich tätige Personen und Teilzeitkräfte sind anteilmäßig anzugeben!!! (Beispiel: Hausmeister sind halbtags beschäftigt-&gt;0,5)</a:t>
          </a:r>
          <a:endParaRPr lang="de-DE" sz="800" b="0" i="0" strike="noStrike">
            <a:solidFill>
              <a:srgbClr val="000000"/>
            </a:solidFill>
            <a:latin typeface="Arial"/>
            <a:cs typeface="Arial"/>
          </a:endParaRPr>
        </a:p>
        <a:p>
          <a:pPr algn="l" rtl="0">
            <a:defRPr sz="1000"/>
          </a:pPr>
          <a:r>
            <a:rPr lang="de-DE" sz="800" b="0" i="0" strike="noStrike">
              <a:solidFill>
                <a:srgbClr val="000000"/>
              </a:solidFill>
              <a:latin typeface="Arial"/>
              <a:cs typeface="Arial"/>
            </a:rPr>
            <a:t>(Auszubildende sind mit einem Anteil von 0,3 anzugeben).</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111</xdr:row>
          <xdr:rowOff>0</xdr:rowOff>
        </xdr:from>
        <xdr:to>
          <xdr:col>7</xdr:col>
          <xdr:colOff>1219200</xdr:colOff>
          <xdr:row>112</xdr:row>
          <xdr:rowOff>142875</xdr:rowOff>
        </xdr:to>
        <xdr:sp macro="" textlink="">
          <xdr:nvSpPr>
            <xdr:cNvPr id="1044" name="CommandButton1"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113</xdr:row>
          <xdr:rowOff>114300</xdr:rowOff>
        </xdr:from>
        <xdr:to>
          <xdr:col>7</xdr:col>
          <xdr:colOff>971550</xdr:colOff>
          <xdr:row>115</xdr:row>
          <xdr:rowOff>76200</xdr:rowOff>
        </xdr:to>
        <xdr:sp macro="" textlink="">
          <xdr:nvSpPr>
            <xdr:cNvPr id="1076" name="CommandButton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86</xdr:row>
          <xdr:rowOff>0</xdr:rowOff>
        </xdr:from>
        <xdr:to>
          <xdr:col>1</xdr:col>
          <xdr:colOff>768350</xdr:colOff>
          <xdr:row>87</xdr:row>
          <xdr:rowOff>76200</xdr:rowOff>
        </xdr:to>
        <xdr:sp macro="" textlink="">
          <xdr:nvSpPr>
            <xdr:cNvPr id="15372" name="Button 12" hidden="1">
              <a:extLst>
                <a:ext uri="{63B3BB69-23CF-44E3-9099-C40C66FF867C}">
                  <a14:compatExt spid="_x0000_s15372"/>
                </a:ext>
                <a:ext uri="{FF2B5EF4-FFF2-40B4-BE49-F238E27FC236}">
                  <a16:creationId xmlns:a16="http://schemas.microsoft.com/office/drawing/2014/main" id="{00000000-0008-0000-0900-00000C3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de-DE" sz="800" b="0" i="0" u="none" strike="noStrike" baseline="0">
                  <a:solidFill>
                    <a:srgbClr val="000000"/>
                  </a:solidFill>
                  <a:latin typeface="Arial"/>
                  <a:cs typeface="Arial"/>
                </a:rPr>
                <a:t>zur Kontrolle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298450</xdr:colOff>
          <xdr:row>31</xdr:row>
          <xdr:rowOff>31750</xdr:rowOff>
        </xdr:from>
        <xdr:to>
          <xdr:col>4</xdr:col>
          <xdr:colOff>209550</xdr:colOff>
          <xdr:row>33</xdr:row>
          <xdr:rowOff>127000</xdr:rowOff>
        </xdr:to>
        <xdr:sp macro="" textlink="">
          <xdr:nvSpPr>
            <xdr:cNvPr id="20486" name="CommandButton1" descr="zur Kontrolle" hidden="1">
              <a:extLst>
                <a:ext uri="{63B3BB69-23CF-44E3-9099-C40C66FF867C}">
                  <a14:compatExt spid="_x0000_s20486"/>
                </a:ext>
                <a:ext uri="{FF2B5EF4-FFF2-40B4-BE49-F238E27FC236}">
                  <a16:creationId xmlns:a16="http://schemas.microsoft.com/office/drawing/2014/main" id="{00000000-0008-0000-0A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178</xdr:row>
          <xdr:rowOff>0</xdr:rowOff>
        </xdr:from>
        <xdr:to>
          <xdr:col>1</xdr:col>
          <xdr:colOff>317500</xdr:colOff>
          <xdr:row>180</xdr:row>
          <xdr:rowOff>12700</xdr:rowOff>
        </xdr:to>
        <xdr:sp macro="" textlink="">
          <xdr:nvSpPr>
            <xdr:cNvPr id="17409" name="CommandButton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239</xdr:row>
          <xdr:rowOff>44450</xdr:rowOff>
        </xdr:from>
        <xdr:to>
          <xdr:col>5</xdr:col>
          <xdr:colOff>1003300</xdr:colOff>
          <xdr:row>241</xdr:row>
          <xdr:rowOff>57150</xdr:rowOff>
        </xdr:to>
        <xdr:sp macro="" textlink="">
          <xdr:nvSpPr>
            <xdr:cNvPr id="23553" name="CommandButton1" hidden="1">
              <a:extLst>
                <a:ext uri="{63B3BB69-23CF-44E3-9099-C40C66FF867C}">
                  <a14:compatExt spid="_x0000_s23553"/>
                </a:ext>
                <a:ext uri="{FF2B5EF4-FFF2-40B4-BE49-F238E27FC236}">
                  <a16:creationId xmlns:a16="http://schemas.microsoft.com/office/drawing/2014/main" id="{00000000-0008-0000-0D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xdr:col>
      <xdr:colOff>0</xdr:colOff>
      <xdr:row>6</xdr:row>
      <xdr:rowOff>6350</xdr:rowOff>
    </xdr:from>
    <xdr:to>
      <xdr:col>8</xdr:col>
      <xdr:colOff>517525</xdr:colOff>
      <xdr:row>9</xdr:row>
      <xdr:rowOff>0</xdr:rowOff>
    </xdr:to>
    <xdr:sp macro="" textlink="">
      <xdr:nvSpPr>
        <xdr:cNvPr id="4097" name="Text Box 1">
          <a:extLst>
            <a:ext uri="{FF2B5EF4-FFF2-40B4-BE49-F238E27FC236}">
              <a16:creationId xmlns:a16="http://schemas.microsoft.com/office/drawing/2014/main" id="{00000000-0008-0000-0F00-000001100000}"/>
            </a:ext>
          </a:extLst>
        </xdr:cNvPr>
        <xdr:cNvSpPr txBox="1">
          <a:spLocks noChangeArrowheads="1"/>
        </xdr:cNvSpPr>
      </xdr:nvSpPr>
      <xdr:spPr bwMode="auto">
        <a:xfrm>
          <a:off x="400050" y="1343025"/>
          <a:ext cx="6267450"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de-DE" sz="1000" b="0" i="0" strike="noStrike">
              <a:solidFill>
                <a:srgbClr val="000000"/>
              </a:solidFill>
              <a:latin typeface="Arial"/>
              <a:cs typeface="Arial"/>
            </a:rPr>
            <a:t>Nach der Kontrolle muss sich der/die Kontrollierende am Kopf des Blattes eintragen. Er/Sie versichert damit, die Blätter des Erfassungsformulars sorgfältig und nach bestem Wissen ausgefüllt zu haben.</a:t>
          </a: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3</xdr:col>
          <xdr:colOff>666750</xdr:colOff>
          <xdr:row>11</xdr:row>
          <xdr:rowOff>184150</xdr:rowOff>
        </xdr:to>
        <xdr:sp macro="" textlink="">
          <xdr:nvSpPr>
            <xdr:cNvPr id="4099" name="DruckenKnopf" hidden="1">
              <a:extLst>
                <a:ext uri="{63B3BB69-23CF-44E3-9099-C40C66FF867C}">
                  <a14:compatExt spid="_x0000_s4099"/>
                </a:ext>
                <a:ext uri="{FF2B5EF4-FFF2-40B4-BE49-F238E27FC236}">
                  <a16:creationId xmlns:a16="http://schemas.microsoft.com/office/drawing/2014/main" id="{00000000-0008-0000-0F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25400</xdr:colOff>
      <xdr:row>2</xdr:row>
      <xdr:rowOff>63500</xdr:rowOff>
    </xdr:from>
    <xdr:to>
      <xdr:col>8</xdr:col>
      <xdr:colOff>9</xdr:colOff>
      <xdr:row>6</xdr:row>
      <xdr:rowOff>38332</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247650" y="381000"/>
          <a:ext cx="6200775" cy="5238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u="sng" strike="noStrike">
              <a:solidFill>
                <a:srgbClr val="FF0000"/>
              </a:solidFill>
              <a:latin typeface="Arial"/>
              <a:cs typeface="Arial"/>
            </a:rPr>
            <a:t>Anmerkung:</a:t>
          </a:r>
          <a:r>
            <a:rPr lang="de-DE" sz="1000" b="0" i="0" strike="noStrike">
              <a:solidFill>
                <a:srgbClr val="FF0000"/>
              </a:solidFill>
              <a:latin typeface="Arial"/>
              <a:cs typeface="Arial"/>
            </a:rPr>
            <a:t> </a:t>
          </a:r>
          <a:r>
            <a:rPr lang="de-DE" sz="1000" b="0" i="0" strike="noStrike">
              <a:solidFill>
                <a:srgbClr val="000000"/>
              </a:solidFill>
              <a:latin typeface="Arial"/>
              <a:cs typeface="Arial"/>
            </a:rPr>
            <a:t>Anzugeben ist im Regelfall der Jahresendwert, es sei denn, es haben größer Zu- oder Verkäufe stattgefunden. Entscheidend ist, dass diese Angaben mit den Zahlenangaben zu den Umsatzerlösen (UE10 usw.) koresspondieren. Im Zweifel rufen Sie Ihren Bearbeiter</a:t>
          </a:r>
          <a:r>
            <a:rPr lang="de-DE" sz="1000" b="0" i="0" strike="noStrike">
              <a:solidFill>
                <a:srgbClr val="FF0000"/>
              </a:solidFill>
              <a:latin typeface="Arial"/>
              <a:cs typeface="Arial"/>
            </a:rPr>
            <a:t> </a:t>
          </a:r>
          <a:r>
            <a:rPr lang="de-DE" sz="1000" b="0" i="0" strike="noStrike">
              <a:solidFill>
                <a:srgbClr val="000000"/>
              </a:solidFill>
              <a:latin typeface="Arial"/>
              <a:cs typeface="Arial"/>
            </a:rPr>
            <a:t>im Verband an.</a:t>
          </a:r>
        </a:p>
      </xdr:txBody>
    </xdr:sp>
    <xdr:clientData/>
  </xdr:twoCellAnchor>
  <xdr:twoCellAnchor>
    <xdr:from>
      <xdr:col>16</xdr:col>
      <xdr:colOff>374650</xdr:colOff>
      <xdr:row>82</xdr:row>
      <xdr:rowOff>31750</xdr:rowOff>
    </xdr:from>
    <xdr:to>
      <xdr:col>16</xdr:col>
      <xdr:colOff>406400</xdr:colOff>
      <xdr:row>82</xdr:row>
      <xdr:rowOff>31750</xdr:rowOff>
    </xdr:to>
    <xdr:sp macro="" textlink="">
      <xdr:nvSpPr>
        <xdr:cNvPr id="3741" name="Line 14">
          <a:extLst>
            <a:ext uri="{FF2B5EF4-FFF2-40B4-BE49-F238E27FC236}">
              <a16:creationId xmlns:a16="http://schemas.microsoft.com/office/drawing/2014/main" id="{00000000-0008-0000-0100-00009D0E0000}"/>
            </a:ext>
          </a:extLst>
        </xdr:cNvPr>
        <xdr:cNvSpPr>
          <a:spLocks noChangeShapeType="1"/>
        </xdr:cNvSpPr>
      </xdr:nvSpPr>
      <xdr:spPr bwMode="auto">
        <a:xfrm flipH="1">
          <a:off x="13614400" y="13830300"/>
          <a:ext cx="31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19050</xdr:colOff>
          <xdr:row>61</xdr:row>
          <xdr:rowOff>0</xdr:rowOff>
        </xdr:from>
        <xdr:to>
          <xdr:col>1</xdr:col>
          <xdr:colOff>952500</xdr:colOff>
          <xdr:row>63</xdr:row>
          <xdr:rowOff>12700</xdr:rowOff>
        </xdr:to>
        <xdr:sp macro="" textlink="">
          <xdr:nvSpPr>
            <xdr:cNvPr id="3074" name="CommandButton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59</xdr:row>
          <xdr:rowOff>101600</xdr:rowOff>
        </xdr:from>
        <xdr:to>
          <xdr:col>1</xdr:col>
          <xdr:colOff>876300</xdr:colOff>
          <xdr:row>61</xdr:row>
          <xdr:rowOff>114300</xdr:rowOff>
        </xdr:to>
        <xdr:sp macro="" textlink="">
          <xdr:nvSpPr>
            <xdr:cNvPr id="7169" name="CommandButton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69850</xdr:colOff>
      <xdr:row>36</xdr:row>
      <xdr:rowOff>19050</xdr:rowOff>
    </xdr:from>
    <xdr:to>
      <xdr:col>6</xdr:col>
      <xdr:colOff>0</xdr:colOff>
      <xdr:row>36</xdr:row>
      <xdr:rowOff>88900</xdr:rowOff>
    </xdr:to>
    <xdr:sp macro="" textlink="">
      <xdr:nvSpPr>
        <xdr:cNvPr id="8844" name="AutoShape 3">
          <a:extLst>
            <a:ext uri="{FF2B5EF4-FFF2-40B4-BE49-F238E27FC236}">
              <a16:creationId xmlns:a16="http://schemas.microsoft.com/office/drawing/2014/main" id="{00000000-0008-0000-0300-00008C220000}"/>
            </a:ext>
          </a:extLst>
        </xdr:cNvPr>
        <xdr:cNvSpPr>
          <a:spLocks noChangeArrowheads="1"/>
        </xdr:cNvSpPr>
      </xdr:nvSpPr>
      <xdr:spPr bwMode="auto">
        <a:xfrm>
          <a:off x="5448300" y="4464050"/>
          <a:ext cx="400050" cy="69850"/>
        </a:xfrm>
        <a:prstGeom prst="leftArrow">
          <a:avLst>
            <a:gd name="adj1" fmla="val 50000"/>
            <a:gd name="adj2" fmla="val 143182"/>
          </a:avLst>
        </a:prstGeom>
        <a:solidFill>
          <a:srgbClr val="FFFFFF"/>
        </a:solidFill>
        <a:ln w="9525">
          <a:solidFill>
            <a:srgbClr val="000000"/>
          </a:solidFill>
          <a:miter lim="800000"/>
          <a:headEnd/>
          <a:tailEnd/>
        </a:ln>
      </xdr:spPr>
    </xdr:sp>
    <xdr:clientData/>
  </xdr:twoCellAnchor>
  <xdr:twoCellAnchor>
    <xdr:from>
      <xdr:col>5</xdr:col>
      <xdr:colOff>69850</xdr:colOff>
      <xdr:row>41</xdr:row>
      <xdr:rowOff>12700</xdr:rowOff>
    </xdr:from>
    <xdr:to>
      <xdr:col>5</xdr:col>
      <xdr:colOff>311150</xdr:colOff>
      <xdr:row>41</xdr:row>
      <xdr:rowOff>82550</xdr:rowOff>
    </xdr:to>
    <xdr:sp macro="" textlink="">
      <xdr:nvSpPr>
        <xdr:cNvPr id="8845" name="AutoShape 5">
          <a:extLst>
            <a:ext uri="{FF2B5EF4-FFF2-40B4-BE49-F238E27FC236}">
              <a16:creationId xmlns:a16="http://schemas.microsoft.com/office/drawing/2014/main" id="{00000000-0008-0000-0300-00008D220000}"/>
            </a:ext>
          </a:extLst>
        </xdr:cNvPr>
        <xdr:cNvSpPr>
          <a:spLocks noChangeArrowheads="1"/>
        </xdr:cNvSpPr>
      </xdr:nvSpPr>
      <xdr:spPr bwMode="auto">
        <a:xfrm>
          <a:off x="5448300" y="5200650"/>
          <a:ext cx="241300" cy="69850"/>
        </a:xfrm>
        <a:prstGeom prst="leftArrow">
          <a:avLst>
            <a:gd name="adj1" fmla="val 50000"/>
            <a:gd name="adj2" fmla="val 86364"/>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25400</xdr:colOff>
          <xdr:row>47</xdr:row>
          <xdr:rowOff>0</xdr:rowOff>
        </xdr:from>
        <xdr:to>
          <xdr:col>2</xdr:col>
          <xdr:colOff>812800</xdr:colOff>
          <xdr:row>49</xdr:row>
          <xdr:rowOff>12700</xdr:rowOff>
        </xdr:to>
        <xdr:sp macro="" textlink="">
          <xdr:nvSpPr>
            <xdr:cNvPr id="8193" name="CommandButton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50</xdr:row>
          <xdr:rowOff>0</xdr:rowOff>
        </xdr:from>
        <xdr:to>
          <xdr:col>1</xdr:col>
          <xdr:colOff>762000</xdr:colOff>
          <xdr:row>52</xdr:row>
          <xdr:rowOff>12700</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46</xdr:row>
          <xdr:rowOff>101600</xdr:rowOff>
        </xdr:from>
        <xdr:to>
          <xdr:col>1</xdr:col>
          <xdr:colOff>908050</xdr:colOff>
          <xdr:row>48</xdr:row>
          <xdr:rowOff>114300</xdr:rowOff>
        </xdr:to>
        <xdr:sp macro="" textlink="">
          <xdr:nvSpPr>
            <xdr:cNvPr id="10241" name="CommandButton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56</xdr:row>
          <xdr:rowOff>6350</xdr:rowOff>
        </xdr:from>
        <xdr:to>
          <xdr:col>1</xdr:col>
          <xdr:colOff>1028700</xdr:colOff>
          <xdr:row>58</xdr:row>
          <xdr:rowOff>19050</xdr:rowOff>
        </xdr:to>
        <xdr:sp macro="" textlink="">
          <xdr:nvSpPr>
            <xdr:cNvPr id="11265" name="CommandButton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86</xdr:row>
          <xdr:rowOff>120650</xdr:rowOff>
        </xdr:from>
        <xdr:to>
          <xdr:col>1</xdr:col>
          <xdr:colOff>952500</xdr:colOff>
          <xdr:row>88</xdr:row>
          <xdr:rowOff>107950</xdr:rowOff>
        </xdr:to>
        <xdr:sp macro="" textlink="">
          <xdr:nvSpPr>
            <xdr:cNvPr id="12289" name="CommandButton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44</xdr:row>
          <xdr:rowOff>101600</xdr:rowOff>
        </xdr:from>
        <xdr:to>
          <xdr:col>1</xdr:col>
          <xdr:colOff>876300</xdr:colOff>
          <xdr:row>46</xdr:row>
          <xdr:rowOff>114300</xdr:rowOff>
        </xdr:to>
        <xdr:sp macro="" textlink="">
          <xdr:nvSpPr>
            <xdr:cNvPr id="14337" name="CommandButton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3</xdr:col>
          <xdr:colOff>1117600</xdr:colOff>
          <xdr:row>46</xdr:row>
          <xdr:rowOff>152400</xdr:rowOff>
        </xdr:to>
        <xdr:sp macro="" textlink="">
          <xdr:nvSpPr>
            <xdr:cNvPr id="14340" name="CommandButton2"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Finanzamt\Investitionszulage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 1"/>
      <sheetName val="VE 2"/>
      <sheetName val="VE 7"/>
      <sheetName val="VE 11"/>
      <sheetName val="VE 12"/>
      <sheetName val="VE 13"/>
      <sheetName val="VE 14"/>
      <sheetName val="VE 15"/>
      <sheetName val="VE 16"/>
      <sheetName val="VE 17"/>
      <sheetName val="VE 18"/>
      <sheetName val="VE 19"/>
      <sheetName val="VE 20"/>
      <sheetName val="VE 21"/>
      <sheetName val="VE 22"/>
      <sheetName val="VE 23"/>
      <sheetName val="VE 24"/>
      <sheetName val="VE 25"/>
      <sheetName val="VE 26"/>
      <sheetName val="VE 27"/>
      <sheetName val="VE 28"/>
      <sheetName val="VE 29"/>
      <sheetName val="VE 30"/>
      <sheetName val="VE 31"/>
      <sheetName val="VE 32"/>
      <sheetName val="VE 33"/>
      <sheetName val="VE 34"/>
      <sheetName val="VE 35"/>
      <sheetName val="VE 36"/>
      <sheetName val="VE 37"/>
      <sheetName val="VE 38"/>
      <sheetName val="VE 39"/>
      <sheetName val="VE 40"/>
      <sheetName val="VE 41"/>
      <sheetName val="VE 42"/>
      <sheetName val="VE 43"/>
      <sheetName val="VE 44"/>
      <sheetName val="VE 45"/>
      <sheetName val="VE 46"/>
      <sheetName val="VE 47"/>
      <sheetName val="VE 48"/>
      <sheetName val="VE 49"/>
      <sheetName val="VE 50"/>
      <sheetName val="VE 51"/>
      <sheetName val="VE 52"/>
      <sheetName val="VE 53"/>
      <sheetName val="Gesamt"/>
      <sheetName val="Anlage 1"/>
      <sheetName val="Abzüge"/>
    </sheetNames>
    <sheetDataSet>
      <sheetData sheetId="0" refreshError="1">
        <row r="14">
          <cell r="F14">
            <v>0</v>
          </cell>
        </row>
        <row r="39">
          <cell r="F39">
            <v>0</v>
          </cell>
        </row>
        <row r="51">
          <cell r="F51">
            <v>0</v>
          </cell>
        </row>
        <row r="58">
          <cell r="F58">
            <v>0</v>
          </cell>
        </row>
        <row r="60">
          <cell r="F60">
            <v>0</v>
          </cell>
        </row>
      </sheetData>
      <sheetData sheetId="1" refreshError="1">
        <row r="14">
          <cell r="F14">
            <v>0</v>
          </cell>
        </row>
        <row r="39">
          <cell r="F39">
            <v>0</v>
          </cell>
        </row>
        <row r="51">
          <cell r="F51">
            <v>0</v>
          </cell>
        </row>
        <row r="58">
          <cell r="F58">
            <v>0</v>
          </cell>
        </row>
        <row r="60">
          <cell r="F60">
            <v>0</v>
          </cell>
        </row>
      </sheetData>
      <sheetData sheetId="2" refreshError="1">
        <row r="14">
          <cell r="F14">
            <v>0</v>
          </cell>
        </row>
        <row r="39">
          <cell r="F39">
            <v>314.20999999999998</v>
          </cell>
        </row>
        <row r="51">
          <cell r="F51">
            <v>0</v>
          </cell>
        </row>
        <row r="58">
          <cell r="F58">
            <v>10580.130000000001</v>
          </cell>
        </row>
        <row r="60">
          <cell r="F60">
            <v>10894.34</v>
          </cell>
        </row>
      </sheetData>
      <sheetData sheetId="3" refreshError="1">
        <row r="14">
          <cell r="F14">
            <v>0</v>
          </cell>
        </row>
        <row r="39">
          <cell r="F39">
            <v>1369.7</v>
          </cell>
        </row>
        <row r="51">
          <cell r="F51">
            <v>0</v>
          </cell>
        </row>
        <row r="58">
          <cell r="F58">
            <v>1405.75</v>
          </cell>
        </row>
        <row r="60">
          <cell r="F60">
            <v>2775.45</v>
          </cell>
        </row>
      </sheetData>
      <sheetData sheetId="4" refreshError="1">
        <row r="14">
          <cell r="F14">
            <v>0</v>
          </cell>
        </row>
        <row r="39">
          <cell r="F39">
            <v>3657.61</v>
          </cell>
        </row>
        <row r="51">
          <cell r="F51">
            <v>0</v>
          </cell>
        </row>
        <row r="58">
          <cell r="F58">
            <v>78389.83</v>
          </cell>
        </row>
        <row r="60">
          <cell r="F60">
            <v>82047.44</v>
          </cell>
        </row>
      </sheetData>
      <sheetData sheetId="5" refreshError="1">
        <row r="14">
          <cell r="F14">
            <v>8439.3300000000017</v>
          </cell>
        </row>
        <row r="39">
          <cell r="F39">
            <v>3597.61</v>
          </cell>
        </row>
        <row r="51">
          <cell r="F51">
            <v>0</v>
          </cell>
        </row>
        <row r="58">
          <cell r="F58">
            <v>0</v>
          </cell>
        </row>
        <row r="60">
          <cell r="F60">
            <v>12036.940000000002</v>
          </cell>
        </row>
      </sheetData>
      <sheetData sheetId="6" refreshError="1">
        <row r="14">
          <cell r="F14">
            <v>0</v>
          </cell>
        </row>
        <row r="39">
          <cell r="F39">
            <v>1526.46</v>
          </cell>
        </row>
        <row r="51">
          <cell r="F51">
            <v>0</v>
          </cell>
        </row>
        <row r="58">
          <cell r="F58">
            <v>0</v>
          </cell>
        </row>
        <row r="60">
          <cell r="F60">
            <v>1526.46</v>
          </cell>
        </row>
      </sheetData>
      <sheetData sheetId="7" refreshError="1">
        <row r="14">
          <cell r="F14">
            <v>0</v>
          </cell>
        </row>
        <row r="39">
          <cell r="F39">
            <v>0</v>
          </cell>
        </row>
        <row r="51">
          <cell r="F51">
            <v>0</v>
          </cell>
        </row>
        <row r="58">
          <cell r="F58">
            <v>0</v>
          </cell>
        </row>
        <row r="60">
          <cell r="F60">
            <v>0</v>
          </cell>
        </row>
      </sheetData>
      <sheetData sheetId="8" refreshError="1">
        <row r="14">
          <cell r="F14">
            <v>2290.3199999999997</v>
          </cell>
        </row>
        <row r="39">
          <cell r="F39">
            <v>5994.0099999999993</v>
          </cell>
        </row>
        <row r="51">
          <cell r="F51">
            <v>0</v>
          </cell>
        </row>
        <row r="58">
          <cell r="F58">
            <v>38378.300000000003</v>
          </cell>
        </row>
        <row r="60">
          <cell r="F60">
            <v>46662.630000000005</v>
          </cell>
        </row>
      </sheetData>
      <sheetData sheetId="9" refreshError="1">
        <row r="14">
          <cell r="F14">
            <v>91.67</v>
          </cell>
        </row>
        <row r="39">
          <cell r="F39">
            <v>3140.0600000000004</v>
          </cell>
        </row>
        <row r="51">
          <cell r="F51">
            <v>0</v>
          </cell>
        </row>
        <row r="58">
          <cell r="F58">
            <v>29508.41</v>
          </cell>
        </row>
        <row r="60">
          <cell r="F60">
            <v>32740.14</v>
          </cell>
        </row>
      </sheetData>
      <sheetData sheetId="10" refreshError="1">
        <row r="14">
          <cell r="F14">
            <v>0</v>
          </cell>
        </row>
        <row r="39">
          <cell r="F39">
            <v>5855.1699999999992</v>
          </cell>
        </row>
        <row r="51">
          <cell r="F51">
            <v>0</v>
          </cell>
        </row>
        <row r="58">
          <cell r="F58">
            <v>0</v>
          </cell>
        </row>
        <row r="60">
          <cell r="F60">
            <v>5855.1699999999992</v>
          </cell>
        </row>
      </sheetData>
      <sheetData sheetId="11" refreshError="1">
        <row r="14">
          <cell r="F14">
            <v>63.02</v>
          </cell>
        </row>
        <row r="39">
          <cell r="F39">
            <v>4800.9799999999996</v>
          </cell>
        </row>
        <row r="51">
          <cell r="F51">
            <v>0</v>
          </cell>
        </row>
        <row r="58">
          <cell r="F58">
            <v>14005.710000000001</v>
          </cell>
        </row>
        <row r="60">
          <cell r="F60">
            <v>18869.710000000003</v>
          </cell>
        </row>
      </sheetData>
      <sheetData sheetId="12" refreshError="1">
        <row r="14">
          <cell r="F14">
            <v>2899.4700000000003</v>
          </cell>
        </row>
        <row r="39">
          <cell r="F39">
            <v>32089.879999999997</v>
          </cell>
        </row>
        <row r="51">
          <cell r="F51">
            <v>0</v>
          </cell>
        </row>
        <row r="58">
          <cell r="F58">
            <v>30811.539999999997</v>
          </cell>
        </row>
        <row r="60">
          <cell r="F60">
            <v>65800.89</v>
          </cell>
        </row>
      </sheetData>
      <sheetData sheetId="13" refreshError="1">
        <row r="14">
          <cell r="F14">
            <v>181.28</v>
          </cell>
        </row>
        <row r="39">
          <cell r="F39">
            <v>14790.279999999999</v>
          </cell>
        </row>
        <row r="51">
          <cell r="F51">
            <v>0</v>
          </cell>
        </row>
        <row r="58">
          <cell r="F58">
            <v>27558.309999999998</v>
          </cell>
        </row>
        <row r="60">
          <cell r="F60">
            <v>42529.869999999995</v>
          </cell>
        </row>
      </sheetData>
      <sheetData sheetId="14" refreshError="1">
        <row r="14">
          <cell r="F14">
            <v>0</v>
          </cell>
        </row>
        <row r="39">
          <cell r="F39">
            <v>5736.2699999999995</v>
          </cell>
        </row>
        <row r="51">
          <cell r="F51">
            <v>0</v>
          </cell>
        </row>
        <row r="58">
          <cell r="F58">
            <v>0</v>
          </cell>
        </row>
        <row r="60">
          <cell r="F60">
            <v>5736.2699999999995</v>
          </cell>
        </row>
      </sheetData>
      <sheetData sheetId="15" refreshError="1">
        <row r="14">
          <cell r="F14">
            <v>40.909999999999997</v>
          </cell>
        </row>
        <row r="39">
          <cell r="F39">
            <v>4999.2700000000004</v>
          </cell>
        </row>
        <row r="51">
          <cell r="F51">
            <v>0</v>
          </cell>
        </row>
        <row r="58">
          <cell r="F58">
            <v>0</v>
          </cell>
        </row>
        <row r="60">
          <cell r="F60">
            <v>5040.18</v>
          </cell>
        </row>
      </sheetData>
      <sheetData sheetId="16" refreshError="1">
        <row r="14">
          <cell r="F14">
            <v>1432.75</v>
          </cell>
        </row>
        <row r="39">
          <cell r="F39">
            <v>15105.86</v>
          </cell>
        </row>
        <row r="51">
          <cell r="F51">
            <v>0</v>
          </cell>
        </row>
        <row r="58">
          <cell r="F58">
            <v>20052.080000000002</v>
          </cell>
        </row>
        <row r="60">
          <cell r="F60">
            <v>36590.69</v>
          </cell>
        </row>
      </sheetData>
      <sheetData sheetId="17" refreshError="1">
        <row r="14">
          <cell r="F14">
            <v>9739.85</v>
          </cell>
        </row>
        <row r="39">
          <cell r="F39">
            <v>4573.3500000000004</v>
          </cell>
        </row>
        <row r="51">
          <cell r="F51">
            <v>0</v>
          </cell>
        </row>
        <row r="58">
          <cell r="F58">
            <v>0</v>
          </cell>
        </row>
        <row r="60">
          <cell r="F60">
            <v>14313.2</v>
          </cell>
        </row>
      </sheetData>
      <sheetData sheetId="18" refreshError="1">
        <row r="14">
          <cell r="F14">
            <v>14502.55</v>
          </cell>
        </row>
        <row r="39">
          <cell r="F39">
            <v>8251.11</v>
          </cell>
        </row>
        <row r="51">
          <cell r="F51">
            <v>0</v>
          </cell>
        </row>
        <row r="58">
          <cell r="F58">
            <v>0</v>
          </cell>
        </row>
        <row r="60">
          <cell r="F60">
            <v>22753.66</v>
          </cell>
        </row>
      </sheetData>
      <sheetData sheetId="19" refreshError="1">
        <row r="14">
          <cell r="F14">
            <v>1486.58</v>
          </cell>
        </row>
        <row r="39">
          <cell r="F39">
            <v>9012.92</v>
          </cell>
        </row>
        <row r="51">
          <cell r="F51">
            <v>0</v>
          </cell>
        </row>
        <row r="58">
          <cell r="F58">
            <v>0</v>
          </cell>
        </row>
        <row r="60">
          <cell r="F60">
            <v>10499.5</v>
          </cell>
        </row>
      </sheetData>
      <sheetData sheetId="20" refreshError="1">
        <row r="14">
          <cell r="F14">
            <v>28332.53</v>
          </cell>
        </row>
        <row r="39">
          <cell r="F39">
            <v>5605.89</v>
          </cell>
        </row>
        <row r="51">
          <cell r="F51">
            <v>0</v>
          </cell>
        </row>
        <row r="58">
          <cell r="F58">
            <v>0</v>
          </cell>
        </row>
        <row r="60">
          <cell r="F60">
            <v>33938.42</v>
          </cell>
        </row>
      </sheetData>
      <sheetData sheetId="21" refreshError="1">
        <row r="14">
          <cell r="F14">
            <v>3720.47</v>
          </cell>
        </row>
        <row r="39">
          <cell r="F39">
            <v>7264.28</v>
          </cell>
        </row>
        <row r="51">
          <cell r="F51">
            <v>0</v>
          </cell>
        </row>
        <row r="58">
          <cell r="F58">
            <v>0</v>
          </cell>
        </row>
        <row r="60">
          <cell r="F60">
            <v>10984.75</v>
          </cell>
        </row>
      </sheetData>
      <sheetData sheetId="22" refreshError="1">
        <row r="14">
          <cell r="F14">
            <v>0</v>
          </cell>
        </row>
        <row r="39">
          <cell r="F39">
            <v>3723.3799999999997</v>
          </cell>
        </row>
        <row r="51">
          <cell r="F51">
            <v>0</v>
          </cell>
        </row>
        <row r="58">
          <cell r="F58">
            <v>0</v>
          </cell>
        </row>
        <row r="60">
          <cell r="F60">
            <v>3723.3799999999997</v>
          </cell>
        </row>
      </sheetData>
      <sheetData sheetId="23" refreshError="1">
        <row r="14">
          <cell r="F14">
            <v>0</v>
          </cell>
        </row>
        <row r="39">
          <cell r="F39">
            <v>3380.3199999999997</v>
          </cell>
        </row>
        <row r="51">
          <cell r="F51">
            <v>0</v>
          </cell>
        </row>
        <row r="58">
          <cell r="F58">
            <v>0</v>
          </cell>
        </row>
        <row r="60">
          <cell r="F60">
            <v>3380.3199999999997</v>
          </cell>
        </row>
      </sheetData>
      <sheetData sheetId="24" refreshError="1">
        <row r="14">
          <cell r="F14">
            <v>4408.09</v>
          </cell>
        </row>
        <row r="39">
          <cell r="F39">
            <v>12064.42</v>
          </cell>
        </row>
        <row r="51">
          <cell r="F51">
            <v>0</v>
          </cell>
        </row>
        <row r="58">
          <cell r="F58">
            <v>73550.649999999994</v>
          </cell>
        </row>
        <row r="60">
          <cell r="F60">
            <v>90023.159999999989</v>
          </cell>
        </row>
      </sheetData>
      <sheetData sheetId="25" refreshError="1">
        <row r="14">
          <cell r="F14">
            <v>7000.4</v>
          </cell>
        </row>
        <row r="39">
          <cell r="F39">
            <v>6318.61</v>
          </cell>
        </row>
        <row r="51">
          <cell r="F51">
            <v>0</v>
          </cell>
        </row>
        <row r="58">
          <cell r="F58">
            <v>0</v>
          </cell>
        </row>
        <row r="60">
          <cell r="F60">
            <v>13319.009999999998</v>
          </cell>
        </row>
      </sheetData>
      <sheetData sheetId="26" refreshError="1">
        <row r="14">
          <cell r="F14">
            <v>0</v>
          </cell>
        </row>
        <row r="39">
          <cell r="F39">
            <v>9250.91</v>
          </cell>
        </row>
        <row r="51">
          <cell r="F51">
            <v>59445.47</v>
          </cell>
        </row>
        <row r="58">
          <cell r="F58">
            <v>0</v>
          </cell>
        </row>
        <row r="60">
          <cell r="F60">
            <v>68696.38</v>
          </cell>
        </row>
      </sheetData>
      <sheetData sheetId="27" refreshError="1">
        <row r="14">
          <cell r="F14">
            <v>7441.6599999999989</v>
          </cell>
        </row>
        <row r="39">
          <cell r="F39">
            <v>8516.4900000000016</v>
          </cell>
        </row>
        <row r="51">
          <cell r="F51">
            <v>0</v>
          </cell>
        </row>
        <row r="58">
          <cell r="F58">
            <v>0</v>
          </cell>
        </row>
        <row r="60">
          <cell r="F60">
            <v>15958.150000000001</v>
          </cell>
        </row>
      </sheetData>
      <sheetData sheetId="28" refreshError="1">
        <row r="14">
          <cell r="F14">
            <v>24809</v>
          </cell>
        </row>
        <row r="39">
          <cell r="F39">
            <v>12834.25</v>
          </cell>
        </row>
        <row r="51">
          <cell r="F51">
            <v>0</v>
          </cell>
        </row>
        <row r="58">
          <cell r="F58">
            <v>59259.25</v>
          </cell>
        </row>
        <row r="60">
          <cell r="F60">
            <v>96902.5</v>
          </cell>
        </row>
      </sheetData>
      <sheetData sheetId="29" refreshError="1">
        <row r="14">
          <cell r="F14">
            <v>12739.35</v>
          </cell>
        </row>
        <row r="39">
          <cell r="F39">
            <v>12144.830000000002</v>
          </cell>
        </row>
        <row r="51">
          <cell r="F51">
            <v>0</v>
          </cell>
        </row>
        <row r="58">
          <cell r="F58">
            <v>0</v>
          </cell>
        </row>
        <row r="60">
          <cell r="F60">
            <v>24884.18</v>
          </cell>
        </row>
      </sheetData>
      <sheetData sheetId="30" refreshError="1">
        <row r="14">
          <cell r="F14">
            <v>10378.14</v>
          </cell>
        </row>
        <row r="39">
          <cell r="F39">
            <v>13740.109999999997</v>
          </cell>
        </row>
        <row r="51">
          <cell r="F51">
            <v>0</v>
          </cell>
        </row>
        <row r="58">
          <cell r="F58">
            <v>46604.68</v>
          </cell>
        </row>
        <row r="60">
          <cell r="F60">
            <v>70722.929999999993</v>
          </cell>
        </row>
      </sheetData>
      <sheetData sheetId="31" refreshError="1">
        <row r="14">
          <cell r="F14">
            <v>238.92</v>
          </cell>
        </row>
        <row r="39">
          <cell r="F39">
            <v>6240.26</v>
          </cell>
        </row>
        <row r="51">
          <cell r="F51">
            <v>0</v>
          </cell>
        </row>
        <row r="58">
          <cell r="F58">
            <v>0</v>
          </cell>
        </row>
        <row r="60">
          <cell r="F60">
            <v>6479.18</v>
          </cell>
        </row>
      </sheetData>
      <sheetData sheetId="32" refreshError="1">
        <row r="14">
          <cell r="F14">
            <v>17310.260000000002</v>
          </cell>
        </row>
        <row r="39">
          <cell r="F39">
            <v>25212.5</v>
          </cell>
        </row>
        <row r="51">
          <cell r="F51">
            <v>0</v>
          </cell>
        </row>
        <row r="58">
          <cell r="F58">
            <v>60807.15</v>
          </cell>
        </row>
        <row r="60">
          <cell r="F60">
            <v>103329.91</v>
          </cell>
        </row>
      </sheetData>
      <sheetData sheetId="33" refreshError="1">
        <row r="14">
          <cell r="F14">
            <v>21368.720000000005</v>
          </cell>
        </row>
        <row r="39">
          <cell r="F39">
            <v>10911.160000000002</v>
          </cell>
        </row>
        <row r="51">
          <cell r="F51">
            <v>0</v>
          </cell>
        </row>
        <row r="58">
          <cell r="F58">
            <v>0</v>
          </cell>
        </row>
        <row r="60">
          <cell r="F60">
            <v>32279.880000000005</v>
          </cell>
        </row>
      </sheetData>
      <sheetData sheetId="34" refreshError="1">
        <row r="14">
          <cell r="F14">
            <v>11923.060000000001</v>
          </cell>
        </row>
        <row r="39">
          <cell r="F39">
            <v>5808.84</v>
          </cell>
        </row>
        <row r="51">
          <cell r="F51">
            <v>0</v>
          </cell>
        </row>
        <row r="58">
          <cell r="F58">
            <v>0</v>
          </cell>
        </row>
        <row r="60">
          <cell r="F60">
            <v>17731.900000000001</v>
          </cell>
        </row>
      </sheetData>
      <sheetData sheetId="35" refreshError="1">
        <row r="14">
          <cell r="F14">
            <v>15996.34</v>
          </cell>
        </row>
        <row r="39">
          <cell r="F39">
            <v>19585.53</v>
          </cell>
        </row>
        <row r="51">
          <cell r="F51">
            <v>0</v>
          </cell>
        </row>
        <row r="58">
          <cell r="F58">
            <v>0</v>
          </cell>
        </row>
        <row r="60">
          <cell r="F60">
            <v>35581.869999999995</v>
          </cell>
        </row>
      </sheetData>
      <sheetData sheetId="36" refreshError="1">
        <row r="14">
          <cell r="F14">
            <v>33091.1</v>
          </cell>
        </row>
        <row r="39">
          <cell r="F39">
            <v>10461.34</v>
          </cell>
        </row>
        <row r="51">
          <cell r="F51">
            <v>0</v>
          </cell>
        </row>
        <row r="58">
          <cell r="F58">
            <v>0</v>
          </cell>
        </row>
        <row r="60">
          <cell r="F60">
            <v>43552.44</v>
          </cell>
        </row>
      </sheetData>
      <sheetData sheetId="37" refreshError="1">
        <row r="14">
          <cell r="F14">
            <v>0</v>
          </cell>
        </row>
        <row r="39">
          <cell r="F39">
            <v>8203.2099999999991</v>
          </cell>
        </row>
        <row r="51">
          <cell r="F51">
            <v>0</v>
          </cell>
        </row>
        <row r="58">
          <cell r="F58">
            <v>23002.920000000002</v>
          </cell>
        </row>
        <row r="60">
          <cell r="F60">
            <v>31206.13</v>
          </cell>
        </row>
      </sheetData>
      <sheetData sheetId="38" refreshError="1">
        <row r="14">
          <cell r="F14">
            <v>12848.31</v>
          </cell>
        </row>
        <row r="39">
          <cell r="F39">
            <v>2143.23</v>
          </cell>
        </row>
        <row r="51">
          <cell r="F51">
            <v>0</v>
          </cell>
        </row>
        <row r="58">
          <cell r="F58">
            <v>0</v>
          </cell>
        </row>
        <row r="60">
          <cell r="F60">
            <v>14991.539999999999</v>
          </cell>
        </row>
      </sheetData>
      <sheetData sheetId="39" refreshError="1">
        <row r="14">
          <cell r="F14">
            <v>13659.16</v>
          </cell>
        </row>
        <row r="39">
          <cell r="F39">
            <v>12662.34</v>
          </cell>
        </row>
        <row r="51">
          <cell r="F51">
            <v>0</v>
          </cell>
        </row>
        <row r="58">
          <cell r="F58">
            <v>0</v>
          </cell>
        </row>
        <row r="60">
          <cell r="F60">
            <v>26321.5</v>
          </cell>
        </row>
      </sheetData>
      <sheetData sheetId="40" refreshError="1">
        <row r="14">
          <cell r="F14">
            <v>7189.130000000001</v>
          </cell>
        </row>
        <row r="39">
          <cell r="F39">
            <v>5150.71</v>
          </cell>
        </row>
        <row r="51">
          <cell r="F51">
            <v>0</v>
          </cell>
        </row>
        <row r="58">
          <cell r="F58">
            <v>0</v>
          </cell>
        </row>
        <row r="60">
          <cell r="F60">
            <v>12339.84</v>
          </cell>
        </row>
      </sheetData>
      <sheetData sheetId="41" refreshError="1">
        <row r="14">
          <cell r="F14">
            <v>12657.75</v>
          </cell>
        </row>
        <row r="39">
          <cell r="F39">
            <v>1915.6100000000001</v>
          </cell>
        </row>
        <row r="51">
          <cell r="F51">
            <v>0</v>
          </cell>
        </row>
        <row r="58">
          <cell r="F58">
            <v>0</v>
          </cell>
        </row>
        <row r="60">
          <cell r="F60">
            <v>14573.36</v>
          </cell>
        </row>
      </sheetData>
      <sheetData sheetId="42" refreshError="1">
        <row r="14">
          <cell r="F14">
            <v>0</v>
          </cell>
        </row>
        <row r="39">
          <cell r="F39">
            <v>2153.56</v>
          </cell>
        </row>
        <row r="51">
          <cell r="F51">
            <v>0</v>
          </cell>
        </row>
        <row r="58">
          <cell r="F58">
            <v>0</v>
          </cell>
        </row>
        <row r="60">
          <cell r="F60">
            <v>2153.56</v>
          </cell>
        </row>
      </sheetData>
      <sheetData sheetId="43" refreshError="1">
        <row r="14">
          <cell r="F14">
            <v>30937.560000000005</v>
          </cell>
        </row>
        <row r="39">
          <cell r="F39">
            <v>18266.170000000002</v>
          </cell>
        </row>
        <row r="51">
          <cell r="F51">
            <v>0</v>
          </cell>
        </row>
        <row r="58">
          <cell r="F58">
            <v>26477.37</v>
          </cell>
        </row>
        <row r="60">
          <cell r="F60">
            <v>75681.100000000006</v>
          </cell>
        </row>
      </sheetData>
      <sheetData sheetId="44" refreshError="1">
        <row r="14">
          <cell r="F14">
            <v>5927.2799999999988</v>
          </cell>
        </row>
        <row r="39">
          <cell r="F39">
            <v>14068.530000000002</v>
          </cell>
        </row>
        <row r="51">
          <cell r="F51">
            <v>0</v>
          </cell>
        </row>
        <row r="58">
          <cell r="F58">
            <v>0</v>
          </cell>
        </row>
        <row r="60">
          <cell r="F60">
            <v>19995.810000000001</v>
          </cell>
        </row>
      </sheetData>
      <sheetData sheetId="45" refreshError="1">
        <row r="14">
          <cell r="F14">
            <v>29326.390000000003</v>
          </cell>
        </row>
        <row r="39">
          <cell r="F39">
            <v>9342.2999999999993</v>
          </cell>
        </row>
        <row r="51">
          <cell r="F51">
            <v>0</v>
          </cell>
        </row>
        <row r="58">
          <cell r="F58">
            <v>0</v>
          </cell>
        </row>
        <row r="60">
          <cell r="F60">
            <v>38668.69</v>
          </cell>
        </row>
      </sheetData>
      <sheetData sheetId="46"/>
      <sheetData sheetId="47"/>
      <sheetData sheetId="48"/>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10.xml"/><Relationship Id="rId5" Type="http://schemas.openxmlformats.org/officeDocument/2006/relationships/image" Target="../media/image12.emf"/><Relationship Id="rId4" Type="http://schemas.openxmlformats.org/officeDocument/2006/relationships/control" Target="../activeX/activeX1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image" Target="../media/image13.emf"/><Relationship Id="rId4" Type="http://schemas.openxmlformats.org/officeDocument/2006/relationships/control" Target="../activeX/activeX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4.emf"/><Relationship Id="rId4" Type="http://schemas.openxmlformats.org/officeDocument/2006/relationships/control" Target="../activeX/activeX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omments" Target="../comments14.xml"/><Relationship Id="rId5" Type="http://schemas.openxmlformats.org/officeDocument/2006/relationships/image" Target="../media/image15.emf"/><Relationship Id="rId4" Type="http://schemas.openxmlformats.org/officeDocument/2006/relationships/control" Target="../activeX/activeX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control" Target="../activeX/activeX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4.emf"/><Relationship Id="rId4" Type="http://schemas.openxmlformats.org/officeDocument/2006/relationships/control" Target="../activeX/activeX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control" Target="../activeX/activeX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image" Target="../media/image6.emf"/><Relationship Id="rId4" Type="http://schemas.openxmlformats.org/officeDocument/2006/relationships/control" Target="../activeX/activeX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image" Target="../media/image7.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image" Target="../media/image8.emf"/><Relationship Id="rId4" Type="http://schemas.openxmlformats.org/officeDocument/2006/relationships/control" Target="../activeX/activeX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image" Target="../media/image9.emf"/><Relationship Id="rId4" Type="http://schemas.openxmlformats.org/officeDocument/2006/relationships/control" Target="../activeX/activeX9.xml"/></Relationships>
</file>

<file path=xl/worksheets/_rels/sheet9.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9.vml"/><Relationship Id="rId7" Type="http://schemas.openxmlformats.org/officeDocument/2006/relationships/image" Target="../media/image11.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11.xml"/><Relationship Id="rId5" Type="http://schemas.openxmlformats.org/officeDocument/2006/relationships/image" Target="../media/image10.emf"/><Relationship Id="rId4"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M120"/>
  <sheetViews>
    <sheetView showGridLines="0" tabSelected="1" topLeftCell="A55" zoomScaleNormal="100" workbookViewId="0">
      <selection activeCell="Q23" sqref="Q23"/>
    </sheetView>
  </sheetViews>
  <sheetFormatPr baseColWidth="10" defaultRowHeight="12.5" x14ac:dyDescent="0.25"/>
  <cols>
    <col min="1" max="1" width="2.26953125" customWidth="1"/>
    <col min="2" max="2" width="23.1796875" customWidth="1"/>
    <col min="3" max="3" width="7.453125" customWidth="1"/>
    <col min="4" max="4" width="13.26953125" customWidth="1"/>
    <col min="7" max="7" width="4.7265625" customWidth="1"/>
    <col min="8" max="8" width="18.81640625" customWidth="1"/>
    <col min="9" max="9" width="5.81640625" customWidth="1"/>
    <col min="10" max="10" width="2.7265625" customWidth="1"/>
    <col min="11" max="11" width="27.1796875" customWidth="1"/>
  </cols>
  <sheetData>
    <row r="1" spans="2:11" ht="5.25" customHeight="1" x14ac:dyDescent="0.25"/>
    <row r="2" spans="2:11" ht="14" x14ac:dyDescent="0.3">
      <c r="B2" s="463" t="s">
        <v>70</v>
      </c>
      <c r="C2" s="464"/>
      <c r="D2" s="464"/>
      <c r="E2" s="464"/>
      <c r="F2" s="464"/>
      <c r="G2" s="464"/>
      <c r="H2" s="464"/>
      <c r="I2" s="465"/>
      <c r="K2" s="356" t="s">
        <v>194</v>
      </c>
    </row>
    <row r="3" spans="2:11" ht="14" hidden="1" x14ac:dyDescent="0.3">
      <c r="B3" s="136" t="str">
        <f>CONCATENATE(H5,_JAHR)</f>
        <v>31.12.2022</v>
      </c>
      <c r="C3" s="136">
        <v>1</v>
      </c>
      <c r="D3" s="136"/>
      <c r="E3" s="136"/>
      <c r="F3" s="136"/>
      <c r="G3" s="136"/>
      <c r="H3" s="136"/>
      <c r="I3" s="136"/>
      <c r="K3" s="32"/>
    </row>
    <row r="4" spans="2:11" x14ac:dyDescent="0.25">
      <c r="K4" s="32"/>
    </row>
    <row r="5" spans="2:11" ht="15" customHeight="1" x14ac:dyDescent="0.25">
      <c r="B5" s="9" t="s">
        <v>912</v>
      </c>
      <c r="D5" s="449">
        <v>2022</v>
      </c>
      <c r="F5" s="9" t="s">
        <v>71</v>
      </c>
      <c r="H5" s="466" t="s">
        <v>1892</v>
      </c>
      <c r="I5" s="467"/>
      <c r="K5" s="32"/>
    </row>
    <row r="6" spans="2:11" s="127" customFormat="1" ht="3" customHeight="1" x14ac:dyDescent="0.25">
      <c r="B6" s="126"/>
      <c r="F6" s="126"/>
      <c r="H6" s="198"/>
      <c r="K6" s="357"/>
    </row>
    <row r="7" spans="2:11" ht="15" customHeight="1" x14ac:dyDescent="0.25">
      <c r="B7" s="9" t="s">
        <v>913</v>
      </c>
      <c r="D7" s="59"/>
      <c r="E7" s="468" t="s">
        <v>72</v>
      </c>
      <c r="F7" s="469"/>
      <c r="G7" s="469"/>
      <c r="H7" s="469"/>
      <c r="I7" s="469"/>
      <c r="K7" s="32"/>
    </row>
    <row r="8" spans="2:11" s="127" customFormat="1" ht="3" customHeight="1" x14ac:dyDescent="0.25">
      <c r="B8" s="126"/>
      <c r="F8" s="126"/>
      <c r="H8" s="198"/>
      <c r="K8" s="357"/>
    </row>
    <row r="9" spans="2:11" ht="15" customHeight="1" x14ac:dyDescent="0.25">
      <c r="B9" s="9" t="s">
        <v>914</v>
      </c>
      <c r="D9" s="470"/>
      <c r="E9" s="471"/>
      <c r="F9" s="471"/>
      <c r="G9" s="471"/>
      <c r="H9" s="471"/>
      <c r="I9" s="472"/>
      <c r="K9" s="32"/>
    </row>
    <row r="10" spans="2:11" s="127" customFormat="1" ht="3" customHeight="1" x14ac:dyDescent="0.25">
      <c r="B10" s="126"/>
      <c r="F10" s="126"/>
      <c r="H10" s="198"/>
      <c r="K10" s="357"/>
    </row>
    <row r="11" spans="2:11" ht="15" customHeight="1" x14ac:dyDescent="0.25">
      <c r="B11" t="s">
        <v>1238</v>
      </c>
      <c r="D11" s="470"/>
      <c r="E11" s="471"/>
      <c r="F11" s="472"/>
      <c r="G11" t="s">
        <v>743</v>
      </c>
      <c r="H11" s="476"/>
      <c r="I11" s="477"/>
      <c r="K11" s="32"/>
    </row>
    <row r="12" spans="2:11" s="127" customFormat="1" ht="3" customHeight="1" x14ac:dyDescent="0.25">
      <c r="B12" s="126"/>
      <c r="F12" s="126"/>
      <c r="H12" s="198"/>
      <c r="K12" s="357"/>
    </row>
    <row r="13" spans="2:11" ht="15" customHeight="1" x14ac:dyDescent="0.25">
      <c r="B13" t="s">
        <v>46</v>
      </c>
      <c r="D13" s="473"/>
      <c r="E13" s="474"/>
      <c r="F13" s="475"/>
      <c r="G13" s="199"/>
      <c r="H13" s="199"/>
      <c r="I13" s="199"/>
      <c r="K13" s="32"/>
    </row>
    <row r="14" spans="2:11" s="127" customFormat="1" ht="3" customHeight="1" x14ac:dyDescent="0.25">
      <c r="B14" s="126"/>
      <c r="F14" s="126"/>
      <c r="H14" s="198"/>
      <c r="K14" s="357"/>
    </row>
    <row r="15" spans="2:11" ht="15" customHeight="1" x14ac:dyDescent="0.25">
      <c r="B15" t="s">
        <v>1239</v>
      </c>
      <c r="D15" s="470" t="s">
        <v>1893</v>
      </c>
      <c r="E15" s="471"/>
      <c r="F15" s="472"/>
      <c r="G15" t="s">
        <v>743</v>
      </c>
      <c r="H15" s="476" t="s">
        <v>1894</v>
      </c>
      <c r="I15" s="477"/>
      <c r="K15" s="32"/>
    </row>
    <row r="16" spans="2:11" s="127" customFormat="1" ht="3" customHeight="1" x14ac:dyDescent="0.25">
      <c r="B16" s="126"/>
      <c r="F16" s="126"/>
      <c r="H16" s="198"/>
      <c r="K16" s="357"/>
    </row>
    <row r="17" spans="2:11" ht="15" customHeight="1" x14ac:dyDescent="0.25">
      <c r="B17" t="s">
        <v>46</v>
      </c>
      <c r="D17" s="473" t="s">
        <v>1895</v>
      </c>
      <c r="E17" s="474"/>
      <c r="F17" s="475"/>
      <c r="G17" s="199"/>
      <c r="H17" s="199"/>
      <c r="K17" s="32"/>
    </row>
    <row r="18" spans="2:11" x14ac:dyDescent="0.25">
      <c r="D18" s="200"/>
      <c r="E18" s="29"/>
      <c r="H18" s="7"/>
      <c r="K18" s="32"/>
    </row>
    <row r="19" spans="2:11" ht="14" x14ac:dyDescent="0.3">
      <c r="B19" s="139" t="s">
        <v>744</v>
      </c>
      <c r="D19" s="200"/>
      <c r="E19" s="29"/>
      <c r="H19" s="7"/>
      <c r="K19" s="32"/>
    </row>
    <row r="20" spans="2:11" x14ac:dyDescent="0.25">
      <c r="B20" s="32" t="s">
        <v>840</v>
      </c>
      <c r="D20" s="200"/>
      <c r="E20" s="29"/>
      <c r="H20" s="7"/>
      <c r="K20" s="32"/>
    </row>
    <row r="21" spans="2:11" ht="8.25" customHeight="1" x14ac:dyDescent="0.3">
      <c r="B21" s="1"/>
      <c r="D21" s="200"/>
      <c r="E21" s="29"/>
      <c r="H21" s="7"/>
      <c r="K21" s="32"/>
    </row>
    <row r="22" spans="2:11" ht="15" customHeight="1" x14ac:dyDescent="0.25">
      <c r="B22" s="9" t="s">
        <v>745</v>
      </c>
      <c r="D22" s="200"/>
      <c r="E22" s="29"/>
      <c r="H22" s="448"/>
      <c r="I22" s="10" t="s">
        <v>829</v>
      </c>
      <c r="K22" s="340"/>
    </row>
    <row r="23" spans="2:11" ht="40.5" x14ac:dyDescent="0.25">
      <c r="B23" s="459" t="s">
        <v>1875</v>
      </c>
      <c r="D23" s="200"/>
      <c r="E23" s="29"/>
      <c r="H23" s="31"/>
      <c r="K23" s="155"/>
    </row>
    <row r="24" spans="2:11" ht="10.5" customHeight="1" x14ac:dyDescent="0.25">
      <c r="B24" s="129"/>
      <c r="D24" s="200"/>
      <c r="E24" s="29"/>
      <c r="H24" s="31"/>
      <c r="K24" s="155"/>
    </row>
    <row r="25" spans="2:11" ht="14.25" customHeight="1" x14ac:dyDescent="0.25">
      <c r="B25" s="9" t="s">
        <v>1876</v>
      </c>
      <c r="D25" s="200"/>
      <c r="E25" s="29"/>
      <c r="H25" s="448"/>
      <c r="I25" s="52" t="s">
        <v>1878</v>
      </c>
      <c r="K25" s="340"/>
    </row>
    <row r="26" spans="2:11" ht="22.5" customHeight="1" x14ac:dyDescent="0.25">
      <c r="B26" s="461" t="s">
        <v>1877</v>
      </c>
      <c r="C26" s="462"/>
      <c r="D26" s="462"/>
      <c r="E26" s="29"/>
      <c r="H26" s="31"/>
      <c r="K26" s="155"/>
    </row>
    <row r="27" spans="2:11" ht="4.5" customHeight="1" x14ac:dyDescent="0.25">
      <c r="D27" s="200"/>
      <c r="E27" s="29"/>
      <c r="H27" s="121"/>
      <c r="I27" s="122"/>
      <c r="K27" s="155"/>
    </row>
    <row r="28" spans="2:11" ht="15" customHeight="1" x14ac:dyDescent="0.25">
      <c r="B28" s="9" t="s">
        <v>1240</v>
      </c>
      <c r="D28" s="200"/>
      <c r="E28" s="29"/>
      <c r="H28" s="119"/>
      <c r="I28" s="120" t="s">
        <v>15</v>
      </c>
      <c r="K28" s="340"/>
    </row>
    <row r="29" spans="2:11" s="32" customFormat="1" ht="10" x14ac:dyDescent="0.2">
      <c r="B29" s="129" t="s">
        <v>1289</v>
      </c>
      <c r="D29" s="201"/>
      <c r="E29" s="55"/>
      <c r="H29" s="56"/>
      <c r="K29" s="155"/>
    </row>
    <row r="30" spans="2:11" s="32" customFormat="1" ht="10" x14ac:dyDescent="0.2">
      <c r="B30" s="129" t="s">
        <v>746</v>
      </c>
      <c r="D30" s="201"/>
      <c r="E30" s="55"/>
      <c r="H30" s="56"/>
      <c r="K30" s="155"/>
    </row>
    <row r="31" spans="2:11" s="32" customFormat="1" ht="10" x14ac:dyDescent="0.2">
      <c r="B31" s="129" t="s">
        <v>747</v>
      </c>
      <c r="D31" s="201"/>
      <c r="E31" s="55"/>
      <c r="H31" s="56"/>
      <c r="K31" s="155"/>
    </row>
    <row r="32" spans="2:11" s="32" customFormat="1" ht="10" x14ac:dyDescent="0.2">
      <c r="B32" s="129" t="s">
        <v>1290</v>
      </c>
      <c r="D32" s="201"/>
      <c r="E32" s="55"/>
      <c r="H32" s="56"/>
      <c r="K32" s="155"/>
    </row>
    <row r="33" spans="2:11" s="32" customFormat="1" ht="10" x14ac:dyDescent="0.2">
      <c r="B33" s="129" t="s">
        <v>1783</v>
      </c>
      <c r="D33" s="201"/>
      <c r="E33" s="55"/>
      <c r="H33" s="56"/>
      <c r="K33" s="155"/>
    </row>
    <row r="34" spans="2:11" s="32" customFormat="1" ht="10" x14ac:dyDescent="0.2">
      <c r="B34" s="129" t="s">
        <v>1782</v>
      </c>
      <c r="D34" s="201"/>
      <c r="E34" s="55"/>
      <c r="H34" s="56"/>
      <c r="K34" s="155"/>
    </row>
    <row r="35" spans="2:11" ht="3.75" customHeight="1" x14ac:dyDescent="0.25">
      <c r="D35" s="200"/>
      <c r="E35" s="29"/>
      <c r="H35" s="121"/>
      <c r="I35" s="122"/>
      <c r="K35" s="155"/>
    </row>
    <row r="36" spans="2:11" ht="13" hidden="1" x14ac:dyDescent="0.3">
      <c r="B36" s="9" t="s">
        <v>1242</v>
      </c>
      <c r="D36" s="200"/>
      <c r="E36" s="29"/>
      <c r="H36" s="123">
        <f>'Teil I - S.1 '!J38</f>
        <v>0</v>
      </c>
      <c r="K36" s="155"/>
    </row>
    <row r="37" spans="2:11" hidden="1" x14ac:dyDescent="0.25">
      <c r="B37" s="9" t="s">
        <v>785</v>
      </c>
      <c r="D37" s="200"/>
      <c r="E37" s="29"/>
      <c r="H37" s="31"/>
      <c r="J37" s="58">
        <f>_EE01+_EE02/7+_EE03+_EE04/12+_VE01+_VE02/7+_VE03+_VE04/12+_PE01+_PE02/7+_PE03</f>
        <v>0</v>
      </c>
      <c r="K37" s="155"/>
    </row>
    <row r="38" spans="2:11" hidden="1" x14ac:dyDescent="0.25">
      <c r="D38" s="200"/>
      <c r="E38" s="29"/>
      <c r="H38" s="31"/>
      <c r="J38" s="58">
        <f>IF(AND('Teil I - S.1 '!J37&lt;101,'Teil I - S.1 '!J37&gt;0),1,IF(AND('Teil I - S.1 '!J37&gt;100,'Teil I - S.1 '!J37&lt;501),2,IF(AND('Teil I - S.1 '!J37&gt;500,'Teil I - S.1 '!J37&lt;1501),3,IF(AND('Teil I - S.1 '!J37&gt;1500,'Teil I - S.1 '!J37&lt;3001),4,IF(AND('Teil I - S.1 '!J37&gt;3000,'Teil I - S.1 '!J37&lt;6001),5,IF('Teil I - S.1 '!J37&gt;6000,6,0))))))</f>
        <v>0</v>
      </c>
      <c r="K38" s="155"/>
    </row>
    <row r="39" spans="2:11" hidden="1" x14ac:dyDescent="0.25">
      <c r="D39" s="200"/>
      <c r="E39" s="29"/>
      <c r="H39" s="31"/>
      <c r="K39" s="155"/>
    </row>
    <row r="40" spans="2:11" hidden="1" x14ac:dyDescent="0.25">
      <c r="D40" s="200"/>
      <c r="E40" s="29"/>
      <c r="H40" s="31"/>
      <c r="K40" s="155"/>
    </row>
    <row r="41" spans="2:11" hidden="1" x14ac:dyDescent="0.25">
      <c r="D41" s="200"/>
      <c r="E41" s="29"/>
      <c r="H41" s="31"/>
      <c r="K41" s="155"/>
    </row>
    <row r="42" spans="2:11" hidden="1" x14ac:dyDescent="0.25">
      <c r="D42" s="200"/>
      <c r="E42" s="29"/>
      <c r="H42" s="31"/>
      <c r="K42" s="155"/>
    </row>
    <row r="43" spans="2:11" hidden="1" x14ac:dyDescent="0.25">
      <c r="D43" s="200"/>
      <c r="E43" s="29"/>
      <c r="H43" s="31"/>
      <c r="K43" s="155"/>
    </row>
    <row r="44" spans="2:11" hidden="1" x14ac:dyDescent="0.25">
      <c r="D44" s="200"/>
      <c r="E44" s="29"/>
      <c r="H44" s="31"/>
      <c r="K44" s="155"/>
    </row>
    <row r="45" spans="2:11" hidden="1" x14ac:dyDescent="0.25">
      <c r="D45" s="200"/>
      <c r="E45" s="29"/>
      <c r="H45" s="30" t="s">
        <v>748</v>
      </c>
      <c r="K45" s="155"/>
    </row>
    <row r="46" spans="2:11" hidden="1" x14ac:dyDescent="0.25">
      <c r="B46" s="9" t="s">
        <v>1243</v>
      </c>
      <c r="D46" s="200"/>
      <c r="E46" s="29"/>
      <c r="H46" s="326">
        <v>1</v>
      </c>
      <c r="K46" s="155"/>
    </row>
    <row r="47" spans="2:11" hidden="1" x14ac:dyDescent="0.25">
      <c r="B47" s="32" t="s">
        <v>1228</v>
      </c>
      <c r="D47" s="200"/>
      <c r="E47" s="29"/>
      <c r="H47" s="31"/>
      <c r="K47" s="155"/>
    </row>
    <row r="48" spans="2:11" hidden="1" x14ac:dyDescent="0.25">
      <c r="B48" s="32" t="s">
        <v>1283</v>
      </c>
      <c r="D48" s="200"/>
      <c r="E48" s="29"/>
      <c r="H48" s="31"/>
      <c r="K48" s="155"/>
    </row>
    <row r="49" spans="2:13" ht="8.25" hidden="1" customHeight="1" x14ac:dyDescent="0.25">
      <c r="D49" s="200"/>
      <c r="E49" s="29"/>
      <c r="H49" s="30" t="s">
        <v>748</v>
      </c>
      <c r="I49" s="10"/>
      <c r="K49" s="155"/>
    </row>
    <row r="50" spans="2:13" ht="15" customHeight="1" x14ac:dyDescent="0.25">
      <c r="B50" s="9" t="s">
        <v>868</v>
      </c>
      <c r="D50" s="200"/>
      <c r="E50" s="29"/>
      <c r="H50" s="119"/>
      <c r="I50" s="52" t="s">
        <v>871</v>
      </c>
      <c r="K50" s="340"/>
      <c r="M50" s="327">
        <v>1</v>
      </c>
    </row>
    <row r="51" spans="2:13" ht="12" customHeight="1" x14ac:dyDescent="0.25">
      <c r="B51" s="129" t="s">
        <v>870</v>
      </c>
      <c r="D51" s="200"/>
      <c r="E51" s="29"/>
      <c r="H51" s="130"/>
      <c r="K51" s="155"/>
      <c r="M51" s="327">
        <v>2</v>
      </c>
    </row>
    <row r="52" spans="2:13" ht="12" customHeight="1" x14ac:dyDescent="0.25">
      <c r="B52" s="129" t="s">
        <v>869</v>
      </c>
      <c r="D52" s="200"/>
      <c r="E52" s="29"/>
      <c r="H52" s="130"/>
      <c r="K52" s="155"/>
    </row>
    <row r="53" spans="2:13" ht="8.25" customHeight="1" x14ac:dyDescent="0.25">
      <c r="D53" s="200"/>
      <c r="E53" s="29"/>
      <c r="H53" s="130"/>
      <c r="K53" s="155"/>
    </row>
    <row r="54" spans="2:13" ht="15" customHeight="1" x14ac:dyDescent="0.25">
      <c r="B54" s="9" t="s">
        <v>872</v>
      </c>
      <c r="D54" s="200"/>
      <c r="E54" s="29"/>
      <c r="H54" s="57"/>
      <c r="I54" s="10" t="s">
        <v>16</v>
      </c>
      <c r="K54" s="340"/>
    </row>
    <row r="55" spans="2:13" ht="13" x14ac:dyDescent="0.3">
      <c r="B55" s="129" t="s">
        <v>1291</v>
      </c>
      <c r="D55" s="200"/>
      <c r="E55" s="29"/>
      <c r="H55" s="48"/>
      <c r="K55" s="155"/>
    </row>
    <row r="56" spans="2:13" ht="11.25" customHeight="1" x14ac:dyDescent="0.3">
      <c r="B56" s="129" t="s">
        <v>6</v>
      </c>
      <c r="D56" s="200"/>
      <c r="E56" s="29"/>
      <c r="H56" s="48"/>
      <c r="K56" s="155"/>
    </row>
    <row r="57" spans="2:13" ht="11.25" customHeight="1" x14ac:dyDescent="0.3">
      <c r="B57" s="129" t="s">
        <v>13</v>
      </c>
      <c r="H57" s="48"/>
      <c r="K57" s="155"/>
    </row>
    <row r="58" spans="2:13" ht="11.25" customHeight="1" x14ac:dyDescent="0.25">
      <c r="B58" s="129" t="s">
        <v>14</v>
      </c>
      <c r="H58" s="31"/>
      <c r="K58" s="155"/>
    </row>
    <row r="59" spans="2:13" ht="3.75" customHeight="1" x14ac:dyDescent="0.25">
      <c r="D59" s="200"/>
      <c r="E59" s="29"/>
      <c r="H59" s="121"/>
      <c r="I59" s="122"/>
      <c r="K59" s="155"/>
    </row>
    <row r="60" spans="2:13" hidden="1" x14ac:dyDescent="0.25">
      <c r="B60" s="9" t="s">
        <v>1244</v>
      </c>
      <c r="H60" s="119">
        <v>1</v>
      </c>
      <c r="K60" s="155"/>
    </row>
    <row r="61" spans="2:13" hidden="1" x14ac:dyDescent="0.25">
      <c r="B61" s="32" t="s">
        <v>750</v>
      </c>
      <c r="H61" s="31"/>
      <c r="K61" s="155"/>
    </row>
    <row r="62" spans="2:13" hidden="1" x14ac:dyDescent="0.25">
      <c r="B62" s="32" t="s">
        <v>751</v>
      </c>
      <c r="H62" s="31"/>
      <c r="K62" s="155"/>
    </row>
    <row r="63" spans="2:13" hidden="1" x14ac:dyDescent="0.25">
      <c r="B63" s="32" t="s">
        <v>752</v>
      </c>
      <c r="H63" s="31"/>
      <c r="K63" s="155"/>
    </row>
    <row r="64" spans="2:13" ht="8.25" hidden="1" customHeight="1" x14ac:dyDescent="0.25">
      <c r="H64" s="30" t="s">
        <v>749</v>
      </c>
      <c r="I64" s="10"/>
      <c r="K64" s="155"/>
    </row>
    <row r="65" spans="2:11" ht="15" customHeight="1" x14ac:dyDescent="0.25">
      <c r="B65" s="9" t="s">
        <v>873</v>
      </c>
      <c r="H65" s="57"/>
      <c r="I65" s="10" t="s">
        <v>833</v>
      </c>
      <c r="K65" s="340"/>
    </row>
    <row r="66" spans="2:11" x14ac:dyDescent="0.25">
      <c r="B66" s="129" t="s">
        <v>753</v>
      </c>
      <c r="H66" s="31"/>
      <c r="K66" s="155"/>
    </row>
    <row r="67" spans="2:11" ht="11.25" customHeight="1" x14ac:dyDescent="0.25">
      <c r="B67" s="129" t="s">
        <v>754</v>
      </c>
      <c r="H67" s="7"/>
      <c r="K67" s="155"/>
    </row>
    <row r="68" spans="2:11" ht="3.75" customHeight="1" x14ac:dyDescent="0.25">
      <c r="D68" s="200"/>
      <c r="E68" s="29"/>
      <c r="H68" s="121"/>
      <c r="I68" s="122"/>
      <c r="K68" s="155"/>
    </row>
    <row r="69" spans="2:11" ht="15" customHeight="1" x14ac:dyDescent="0.3">
      <c r="B69" s="9" t="s">
        <v>874</v>
      </c>
      <c r="D69" s="1"/>
      <c r="H69" s="119"/>
      <c r="I69" s="125" t="s">
        <v>834</v>
      </c>
      <c r="K69" s="340"/>
    </row>
    <row r="70" spans="2:11" ht="13" x14ac:dyDescent="0.3">
      <c r="B70" s="129" t="s">
        <v>755</v>
      </c>
      <c r="D70" s="1"/>
      <c r="K70" s="155"/>
    </row>
    <row r="71" spans="2:11" ht="11.25" customHeight="1" x14ac:dyDescent="0.3">
      <c r="B71" s="129" t="s">
        <v>1246</v>
      </c>
      <c r="D71" s="1"/>
      <c r="K71" s="155"/>
    </row>
    <row r="72" spans="2:11" ht="11.25" customHeight="1" x14ac:dyDescent="0.3">
      <c r="B72" s="129" t="s">
        <v>756</v>
      </c>
      <c r="D72" s="1"/>
      <c r="K72" s="155"/>
    </row>
    <row r="73" spans="2:11" ht="11.25" customHeight="1" x14ac:dyDescent="0.3">
      <c r="B73" s="129" t="s">
        <v>786</v>
      </c>
      <c r="D73" s="1"/>
      <c r="K73" s="155"/>
    </row>
    <row r="74" spans="2:11" ht="13" hidden="1" x14ac:dyDescent="0.3">
      <c r="D74" s="1"/>
      <c r="H74" s="30" t="s">
        <v>760</v>
      </c>
      <c r="K74" s="155"/>
    </row>
    <row r="75" spans="2:11" ht="13" hidden="1" x14ac:dyDescent="0.3">
      <c r="B75" s="9" t="s">
        <v>1245</v>
      </c>
      <c r="D75" s="1"/>
      <c r="H75" s="57">
        <v>1</v>
      </c>
      <c r="K75" s="155"/>
    </row>
    <row r="76" spans="2:11" ht="13" hidden="1" x14ac:dyDescent="0.3">
      <c r="B76" s="32" t="s">
        <v>755</v>
      </c>
      <c r="D76" s="1"/>
      <c r="K76" s="155"/>
    </row>
    <row r="77" spans="2:11" ht="13" hidden="1" x14ac:dyDescent="0.3">
      <c r="B77" s="32" t="s">
        <v>757</v>
      </c>
      <c r="D77" s="1"/>
      <c r="K77" s="155"/>
    </row>
    <row r="78" spans="2:11" ht="13" hidden="1" x14ac:dyDescent="0.3">
      <c r="B78" s="32" t="s">
        <v>758</v>
      </c>
      <c r="D78" s="1"/>
      <c r="K78" s="155"/>
    </row>
    <row r="79" spans="2:11" ht="13" hidden="1" x14ac:dyDescent="0.3">
      <c r="B79" s="32" t="s">
        <v>759</v>
      </c>
      <c r="D79" s="1"/>
      <c r="K79" s="155"/>
    </row>
    <row r="80" spans="2:11" ht="3.75" customHeight="1" x14ac:dyDescent="0.25">
      <c r="D80" s="200"/>
      <c r="E80" s="29"/>
      <c r="H80" s="121"/>
      <c r="I80" s="122"/>
      <c r="K80" s="155"/>
    </row>
    <row r="81" spans="2:11" ht="15" customHeight="1" x14ac:dyDescent="0.3">
      <c r="B81" s="9" t="s">
        <v>875</v>
      </c>
      <c r="D81" s="1"/>
      <c r="H81" s="119"/>
      <c r="I81" s="125" t="s">
        <v>836</v>
      </c>
      <c r="K81" s="340"/>
    </row>
    <row r="82" spans="2:11" ht="13" x14ac:dyDescent="0.3">
      <c r="B82" s="129" t="s">
        <v>761</v>
      </c>
      <c r="D82" s="1"/>
      <c r="K82" s="155"/>
    </row>
    <row r="83" spans="2:11" ht="11.25" customHeight="1" x14ac:dyDescent="0.3">
      <c r="B83" s="129" t="s">
        <v>762</v>
      </c>
      <c r="D83" s="1"/>
      <c r="K83" s="155"/>
    </row>
    <row r="84" spans="2:11" ht="11.25" customHeight="1" x14ac:dyDescent="0.3">
      <c r="B84" s="129" t="s">
        <v>763</v>
      </c>
      <c r="D84" s="1"/>
      <c r="K84" s="155"/>
    </row>
    <row r="85" spans="2:11" ht="11.25" customHeight="1" x14ac:dyDescent="0.3">
      <c r="B85" s="129" t="s">
        <v>764</v>
      </c>
      <c r="D85" s="1"/>
      <c r="K85" s="155"/>
    </row>
    <row r="86" spans="2:11" ht="11.25" customHeight="1" x14ac:dyDescent="0.3">
      <c r="B86" s="129" t="s">
        <v>69</v>
      </c>
      <c r="D86" s="1"/>
      <c r="K86" s="155"/>
    </row>
    <row r="87" spans="2:11" ht="11.25" customHeight="1" x14ac:dyDescent="0.3">
      <c r="B87" s="129" t="s">
        <v>765</v>
      </c>
      <c r="D87" s="1"/>
      <c r="K87" s="155"/>
    </row>
    <row r="88" spans="2:11" ht="3.75" customHeight="1" x14ac:dyDescent="0.25">
      <c r="D88" s="200"/>
      <c r="E88" s="29"/>
      <c r="H88" s="121"/>
      <c r="I88" s="122"/>
      <c r="K88" s="155"/>
    </row>
    <row r="89" spans="2:11" ht="15" customHeight="1" x14ac:dyDescent="0.3">
      <c r="B89" s="9" t="s">
        <v>876</v>
      </c>
      <c r="D89" s="1"/>
      <c r="H89" s="221"/>
      <c r="I89" s="125" t="s">
        <v>837</v>
      </c>
      <c r="K89" s="340"/>
    </row>
    <row r="90" spans="2:11" ht="13.5" customHeight="1" x14ac:dyDescent="0.3">
      <c r="D90" s="1"/>
      <c r="H90" s="121"/>
      <c r="I90" s="124"/>
      <c r="K90" s="155"/>
    </row>
    <row r="91" spans="2:11" ht="15" customHeight="1" x14ac:dyDescent="0.3">
      <c r="B91" s="9" t="s">
        <v>877</v>
      </c>
      <c r="D91" s="1"/>
      <c r="H91" s="215"/>
      <c r="I91" s="125" t="s">
        <v>44</v>
      </c>
      <c r="K91" s="340"/>
    </row>
    <row r="92" spans="2:11" x14ac:dyDescent="0.25">
      <c r="B92" s="129"/>
      <c r="D92" s="129"/>
      <c r="H92" s="214"/>
      <c r="K92" s="155"/>
    </row>
    <row r="93" spans="2:11" hidden="1" x14ac:dyDescent="0.25">
      <c r="B93" s="129"/>
      <c r="D93" s="129"/>
      <c r="H93" s="214"/>
      <c r="K93" s="155"/>
    </row>
    <row r="94" spans="2:11" hidden="1" x14ac:dyDescent="0.25">
      <c r="B94" s="129"/>
      <c r="D94" s="129"/>
      <c r="H94" s="214"/>
      <c r="K94" s="155"/>
    </row>
    <row r="95" spans="2:11" hidden="1" x14ac:dyDescent="0.25">
      <c r="B95" s="129"/>
      <c r="D95" s="129"/>
      <c r="H95" s="214"/>
      <c r="K95" s="155"/>
    </row>
    <row r="96" spans="2:11" ht="15" customHeight="1" x14ac:dyDescent="0.3">
      <c r="B96" s="9" t="s">
        <v>878</v>
      </c>
      <c r="D96" s="1"/>
      <c r="H96" s="59"/>
      <c r="I96" s="10" t="s">
        <v>349</v>
      </c>
      <c r="K96" s="340"/>
    </row>
    <row r="97" spans="2:11" ht="13" hidden="1" x14ac:dyDescent="0.3">
      <c r="B97" s="129" t="s">
        <v>68</v>
      </c>
      <c r="D97" s="1"/>
      <c r="K97" s="155"/>
    </row>
    <row r="98" spans="2:11" ht="6" customHeight="1" x14ac:dyDescent="0.3">
      <c r="B98" s="129"/>
      <c r="D98" s="1"/>
      <c r="H98" s="128"/>
      <c r="K98" s="155"/>
    </row>
    <row r="99" spans="2:11" ht="13" x14ac:dyDescent="0.3">
      <c r="B99" s="129"/>
      <c r="D99" s="1"/>
      <c r="H99" s="128"/>
      <c r="K99" s="155"/>
    </row>
    <row r="100" spans="2:11" ht="3.75" customHeight="1" x14ac:dyDescent="0.25">
      <c r="D100" s="200"/>
      <c r="E100" s="29"/>
      <c r="H100" s="130"/>
      <c r="I100" s="7"/>
      <c r="K100" s="155"/>
    </row>
    <row r="101" spans="2:11" ht="14" x14ac:dyDescent="0.3">
      <c r="B101" s="139" t="s">
        <v>1263</v>
      </c>
      <c r="D101" s="1"/>
      <c r="K101" s="155"/>
    </row>
    <row r="102" spans="2:11" ht="12.75" customHeight="1" x14ac:dyDescent="0.3">
      <c r="B102" s="1"/>
      <c r="H102" t="s">
        <v>766</v>
      </c>
      <c r="K102" s="155"/>
    </row>
    <row r="103" spans="2:11" ht="15" customHeight="1" x14ac:dyDescent="0.3">
      <c r="C103" s="1"/>
      <c r="D103" t="s">
        <v>50</v>
      </c>
      <c r="H103" s="60"/>
      <c r="I103" s="10" t="s">
        <v>556</v>
      </c>
      <c r="K103" s="340" t="s">
        <v>1867</v>
      </c>
    </row>
    <row r="104" spans="2:11" ht="15" customHeight="1" x14ac:dyDescent="0.3">
      <c r="C104" s="1"/>
      <c r="D104" t="s">
        <v>563</v>
      </c>
      <c r="H104" s="60"/>
      <c r="I104" s="10" t="s">
        <v>557</v>
      </c>
      <c r="K104" s="340" t="s">
        <v>1868</v>
      </c>
    </row>
    <row r="105" spans="2:11" ht="15" customHeight="1" x14ac:dyDescent="0.3">
      <c r="C105" s="1"/>
      <c r="D105" s="7" t="s">
        <v>564</v>
      </c>
      <c r="H105" s="60"/>
      <c r="I105" s="10" t="s">
        <v>558</v>
      </c>
      <c r="K105" s="340"/>
    </row>
    <row r="106" spans="2:11" ht="15" customHeight="1" x14ac:dyDescent="0.3">
      <c r="C106" s="1"/>
      <c r="D106" t="s">
        <v>1287</v>
      </c>
      <c r="H106" s="60"/>
      <c r="I106" s="10" t="s">
        <v>559</v>
      </c>
      <c r="K106" s="340"/>
    </row>
    <row r="107" spans="2:11" ht="15" customHeight="1" x14ac:dyDescent="0.3">
      <c r="C107" s="1"/>
      <c r="D107" t="s">
        <v>565</v>
      </c>
      <c r="H107" s="60"/>
      <c r="I107" s="10" t="s">
        <v>560</v>
      </c>
      <c r="K107" s="340"/>
    </row>
    <row r="108" spans="2:11" ht="15" customHeight="1" x14ac:dyDescent="0.3">
      <c r="C108" s="1"/>
      <c r="D108" t="s">
        <v>566</v>
      </c>
      <c r="H108" s="60"/>
      <c r="I108" s="10" t="s">
        <v>561</v>
      </c>
      <c r="K108" s="340"/>
    </row>
    <row r="109" spans="2:11" ht="8.25" customHeight="1" thickBot="1" x14ac:dyDescent="0.3">
      <c r="K109" s="7"/>
    </row>
    <row r="110" spans="2:11" ht="15" customHeight="1" thickBot="1" x14ac:dyDescent="0.35">
      <c r="C110" s="1"/>
      <c r="D110" s="8" t="s">
        <v>567</v>
      </c>
      <c r="H110" s="20">
        <f>IF(AND(ISBLANK(_PB01),ISBLANK(_PB02),ISBLANK(_PB03),ISBLANK(_PB04),ISBLANK(_PB05),ISBLANK(_PB06)),0,_PB01+_PB02+_PB03+_PB04+_PB05+_PB06)</f>
        <v>0</v>
      </c>
      <c r="I110" s="11" t="s">
        <v>562</v>
      </c>
      <c r="J110" s="320" t="s">
        <v>502</v>
      </c>
    </row>
    <row r="111" spans="2:11" ht="15" customHeight="1" x14ac:dyDescent="0.25">
      <c r="K111" s="321" t="s">
        <v>503</v>
      </c>
    </row>
    <row r="112" spans="2:11"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sheetData>
  <sheetProtection password="92CE" sheet="1"/>
  <mergeCells count="11">
    <mergeCell ref="B26:D26"/>
    <mergeCell ref="B2:I2"/>
    <mergeCell ref="H5:I5"/>
    <mergeCell ref="E7:I7"/>
    <mergeCell ref="D15:F15"/>
    <mergeCell ref="D17:F17"/>
    <mergeCell ref="D9:I9"/>
    <mergeCell ref="H11:I11"/>
    <mergeCell ref="H15:I15"/>
    <mergeCell ref="D11:F11"/>
    <mergeCell ref="D13:F13"/>
  </mergeCells>
  <phoneticPr fontId="0" type="noConversion"/>
  <dataValidations count="17">
    <dataValidation type="list" allowBlank="1" showInputMessage="1" showErrorMessage="1" errorTitle="Regiebetrieb" error="Ihre Eingabe muss numerisch erfolgen und kann nur 1 oder 2 lauten" sqref="H65" xr:uid="{00000000-0002-0000-0000-000000000000}">
      <formula1>"1,2"</formula1>
    </dataValidation>
    <dataValidation type="whole" allowBlank="1" showInputMessage="1" showErrorMessage="1" errorTitle="Technische Abteilung" error="Ihre Eingabe muss numerisch erfolgen und kann nur im Bereich zwischen 1 - 3 liegen" sqref="H60" xr:uid="{00000000-0002-0000-0000-000001000000}">
      <formula1>1</formula1>
      <formula2>3</formula2>
    </dataValidation>
    <dataValidation type="list" allowBlank="1" showInputMessage="1" showErrorMessage="1" errorTitle="Bautätigkeit" error="Ihre Eingabe muss numerisch erfolgen und kann nur im Bereich zwischen 1 - 4 liegen" sqref="H69" xr:uid="{00000000-0002-0000-0000-000002000000}">
      <formula1>"1,2,3,4"</formula1>
    </dataValidation>
    <dataValidation type="whole" allowBlank="1" showInputMessage="1" showErrorMessage="1" errorTitle="Baubetreuung" error="Ihre Eingabe muss numerisch erfolgen und kann nur im Bereich zwischen 1 - 4 liegen" sqref="H75" xr:uid="{00000000-0002-0000-0000-000003000000}">
      <formula1>1</formula1>
      <formula2>4</formula2>
    </dataValidation>
    <dataValidation type="list" allowBlank="1" showInputMessage="1" showErrorMessage="1" errorTitle="Personal" error="Ihre Eingabe muss numerisch erfolgen und kann nur im Bereich zwischen 1 - 5 liegen" sqref="H81" xr:uid="{00000000-0002-0000-0000-000004000000}">
      <formula1>"1,2,3,4,5"</formula1>
    </dataValidation>
    <dataValidation allowBlank="1" showInputMessage="1" showErrorMessage="1" errorTitle="Verbandszugehörigkeit" error="Ihre Eingabe muss numerisch sein" sqref="H89" xr:uid="{00000000-0002-0000-0000-000005000000}"/>
    <dataValidation operator="greaterThan" allowBlank="1" showInputMessage="1" showErrorMessage="1" errorTitle="Fehler" error="Ihre Angabe muss numerisch und darf nicht &quot;0&quot; sein!" sqref="H103:H108" xr:uid="{00000000-0002-0000-0000-000006000000}"/>
    <dataValidation type="list" allowBlank="1" showInputMessage="1" showErrorMessage="1" sqref="H54" xr:uid="{00000000-0002-0000-0000-000007000000}">
      <formula1>"1,2,3,4"</formula1>
    </dataValidation>
    <dataValidation type="list" allowBlank="1" showInputMessage="1" showErrorMessage="1" sqref="H96" xr:uid="{00000000-0002-0000-0000-000008000000}">
      <formula1>"01,02,03,04,05,06,07,08,09,10,11,12,13,14,15,16"</formula1>
    </dataValidation>
    <dataValidation type="whole" allowBlank="1" showInputMessage="1" showErrorMessage="1" sqref="H36" xr:uid="{00000000-0002-0000-0000-000009000000}">
      <formula1>1</formula1>
      <formula2>6</formula2>
    </dataValidation>
    <dataValidation type="list" allowBlank="1" showInputMessage="1" showErrorMessage="1" errorTitle="Rechtsform" error="Ihre Eingabe muss numerisch erfolgen und kann nur im Bereich zwischen 1 - 4 liegen" sqref="H22" xr:uid="{00000000-0002-0000-0000-00000A000000}">
      <formula1>"1,2,3,4"</formula1>
    </dataValidation>
    <dataValidation type="whole" allowBlank="1" showInputMessage="1" showErrorMessage="1" errorTitle="Räumliche Ausdehnung" error="Ihre Eingabe muss numerisch erfolgen und kann nur 1 oder 2 lauten" sqref="H46" xr:uid="{00000000-0002-0000-0000-00000B000000}">
      <formula1>1</formula1>
      <formula2>2</formula2>
    </dataValidation>
    <dataValidation type="list" allowBlank="1" showInputMessage="1" showErrorMessage="1" sqref="H28" xr:uid="{00000000-0002-0000-0000-00000C000000}">
      <formula1>"1,2,3,4,5"</formula1>
    </dataValidation>
    <dataValidation type="textLength" allowBlank="1" showInputMessage="1" showErrorMessage="1" errorTitle="Eingabefehler" error="Bitte nur Tag und Monat eingeben (Beispiel: 31.12.)_x000a_" sqref="H5:I5" xr:uid="{00000000-0002-0000-0000-00000D000000}">
      <formula1>6</formula1>
      <formula2>6</formula2>
    </dataValidation>
    <dataValidation type="textLength" allowBlank="1" showInputMessage="1" showErrorMessage="1" errorTitle="Eingabefehler" error="Bitte nur das Jahr (4-stellig) angeben!" sqref="D5" xr:uid="{00000000-0002-0000-0000-00000E000000}">
      <formula1>4</formula1>
      <formula2>4</formula2>
    </dataValidation>
    <dataValidation type="list" allowBlank="1" showInputMessage="1" showErrorMessage="1" sqref="H50" xr:uid="{00000000-0002-0000-0000-00000F000000}">
      <formula1>$M$50:$M$51</formula1>
    </dataValidation>
    <dataValidation type="list" allowBlank="1" showInputMessage="1" showErrorMessage="1" sqref="H25" xr:uid="{00000000-0002-0000-0000-000010000000}">
      <formula1>"1, 2"</formula1>
    </dataValidation>
  </dataValidations>
  <pageMargins left="0.78740157499999996" right="0.22" top="0.41" bottom="0.64" header="0.28999999999999998" footer="0.23"/>
  <pageSetup paperSize="9" scale="86" orientation="portrait" horizontalDpi="300" verticalDpi="96" r:id="rId1"/>
  <headerFooter alignWithMargins="0">
    <oddFooter>&amp;C&amp;"Arial,Fett"Teil I - Seite 1</oddFooter>
  </headerFooter>
  <drawing r:id="rId2"/>
  <legacyDrawing r:id="rId3"/>
  <controls>
    <mc:AlternateContent xmlns:mc="http://schemas.openxmlformats.org/markup-compatibility/2006">
      <mc:Choice Requires="x14">
        <control shapeId="1044" r:id="rId4" name="CommandButton1">
          <controlPr defaultSize="0" autoLine="0" r:id="rId5">
            <anchor moveWithCells="1">
              <from>
                <xdr:col>6</xdr:col>
                <xdr:colOff>0</xdr:colOff>
                <xdr:row>111</xdr:row>
                <xdr:rowOff>0</xdr:rowOff>
              </from>
              <to>
                <xdr:col>7</xdr:col>
                <xdr:colOff>1219200</xdr:colOff>
                <xdr:row>112</xdr:row>
                <xdr:rowOff>146050</xdr:rowOff>
              </to>
            </anchor>
          </controlPr>
        </control>
      </mc:Choice>
      <mc:Fallback>
        <control shapeId="1044" r:id="rId4" name="CommandButton1"/>
      </mc:Fallback>
    </mc:AlternateContent>
    <mc:AlternateContent xmlns:mc="http://schemas.openxmlformats.org/markup-compatibility/2006">
      <mc:Choice Requires="x14">
        <control shapeId="1076" r:id="rId6" name="CommandButton2">
          <controlPr defaultSize="0" autoLine="0" r:id="rId7">
            <anchor moveWithCells="1">
              <from>
                <xdr:col>5</xdr:col>
                <xdr:colOff>488950</xdr:colOff>
                <xdr:row>113</xdr:row>
                <xdr:rowOff>114300</xdr:rowOff>
              </from>
              <to>
                <xdr:col>7</xdr:col>
                <xdr:colOff>971550</xdr:colOff>
                <xdr:row>115</xdr:row>
                <xdr:rowOff>76200</xdr:rowOff>
              </to>
            </anchor>
          </controlPr>
        </control>
      </mc:Choice>
      <mc:Fallback>
        <control shapeId="1076" r:id="rId6" name="CommandButton2"/>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dimension ref="B2:I160"/>
  <sheetViews>
    <sheetView showGridLines="0" topLeftCell="A4" zoomScaleNormal="100" zoomScaleSheetLayoutView="50" workbookViewId="0">
      <selection activeCell="D9" sqref="D9"/>
    </sheetView>
  </sheetViews>
  <sheetFormatPr baseColWidth="10" defaultRowHeight="12.5" x14ac:dyDescent="0.25"/>
  <cols>
    <col min="1" max="1" width="4.453125" customWidth="1"/>
    <col min="2" max="2" width="68.54296875" customWidth="1"/>
    <col min="3" max="3" width="2.26953125" customWidth="1"/>
    <col min="4" max="4" width="16.7265625" customWidth="1"/>
    <col min="5" max="5" width="6.7265625" customWidth="1"/>
    <col min="6" max="6" width="7.1796875" customWidth="1"/>
    <col min="7" max="7" width="12.1796875" customWidth="1"/>
    <col min="8" max="8" width="2.81640625" customWidth="1"/>
    <col min="9" max="9" width="23" customWidth="1"/>
  </cols>
  <sheetData>
    <row r="2" spans="2:9" ht="14" x14ac:dyDescent="0.3">
      <c r="B2" s="139" t="s">
        <v>1163</v>
      </c>
      <c r="D2" s="47" t="s">
        <v>1286</v>
      </c>
    </row>
    <row r="3" spans="2:9" ht="12" customHeight="1" x14ac:dyDescent="0.25"/>
    <row r="4" spans="2:9" ht="12" customHeight="1" x14ac:dyDescent="0.3">
      <c r="B4" s="1" t="s">
        <v>1164</v>
      </c>
    </row>
    <row r="5" spans="2:9" ht="8.25" customHeight="1" x14ac:dyDescent="0.25"/>
    <row r="6" spans="2:9" ht="12.75" customHeight="1" x14ac:dyDescent="0.25">
      <c r="B6" t="s">
        <v>1148</v>
      </c>
      <c r="D6" s="65">
        <f>_LG10</f>
        <v>0</v>
      </c>
    </row>
    <row r="7" spans="2:9" ht="5.25" customHeight="1" x14ac:dyDescent="0.25"/>
    <row r="8" spans="2:9" ht="12" customHeight="1" x14ac:dyDescent="0.25">
      <c r="D8" s="138" t="str">
        <f>IF(_WAEH=2,"volle DM","volle EURO")</f>
        <v>volle EURO</v>
      </c>
      <c r="G8" s="73" t="str">
        <f>IF(_WAEH=2,"volle DM","volle EURO")</f>
        <v>volle EURO</v>
      </c>
      <c r="H8" s="73"/>
      <c r="I8" s="7"/>
    </row>
    <row r="9" spans="2:9" ht="15" customHeight="1" x14ac:dyDescent="0.3">
      <c r="B9" s="132" t="s">
        <v>595</v>
      </c>
      <c r="C9" s="1"/>
      <c r="D9" s="62"/>
      <c r="E9" s="10" t="s">
        <v>431</v>
      </c>
      <c r="F9" s="73" t="s">
        <v>664</v>
      </c>
      <c r="G9" s="74">
        <f>_LG01</f>
        <v>0</v>
      </c>
      <c r="H9" s="74"/>
      <c r="I9" s="340"/>
    </row>
    <row r="10" spans="2:9" ht="15" customHeight="1" x14ac:dyDescent="0.3">
      <c r="B10" s="132" t="s">
        <v>596</v>
      </c>
      <c r="C10" s="1"/>
      <c r="D10" s="62"/>
      <c r="E10" s="10" t="s">
        <v>433</v>
      </c>
      <c r="F10" s="73" t="s">
        <v>665</v>
      </c>
      <c r="G10" s="74">
        <f>_LG03</f>
        <v>0</v>
      </c>
      <c r="H10" s="74"/>
      <c r="I10" s="340"/>
    </row>
    <row r="11" spans="2:9" ht="15" customHeight="1" thickBot="1" x14ac:dyDescent="0.35">
      <c r="B11" s="132" t="s">
        <v>597</v>
      </c>
      <c r="C11" s="1"/>
      <c r="D11" s="62"/>
      <c r="E11" s="10" t="s">
        <v>434</v>
      </c>
      <c r="F11" s="73" t="s">
        <v>666</v>
      </c>
      <c r="G11" s="74">
        <f>_LG05</f>
        <v>0</v>
      </c>
      <c r="H11" s="74"/>
      <c r="I11" s="340"/>
    </row>
    <row r="12" spans="2:9" ht="15" customHeight="1" thickBot="1" x14ac:dyDescent="0.35">
      <c r="B12" s="1" t="s">
        <v>567</v>
      </c>
      <c r="C12" s="1"/>
      <c r="D12" s="21">
        <f>IF(AND(ISBLANK(_LG01),ISBLANK(_LG03),ISBLANK(_LG05)),0,_LG01+_LG03+_LG05)</f>
        <v>0</v>
      </c>
      <c r="E12" s="11" t="s">
        <v>594</v>
      </c>
      <c r="I12" s="155"/>
    </row>
    <row r="13" spans="2:9" ht="8.25" customHeight="1" x14ac:dyDescent="0.25">
      <c r="I13" s="155"/>
    </row>
    <row r="14" spans="2:9" ht="8.25" customHeight="1" x14ac:dyDescent="0.25">
      <c r="I14" s="155"/>
    </row>
    <row r="15" spans="2:9" ht="12" customHeight="1" x14ac:dyDescent="0.3">
      <c r="B15" s="150" t="s">
        <v>149</v>
      </c>
      <c r="C15" s="1"/>
      <c r="I15" s="155"/>
    </row>
    <row r="16" spans="2:9" ht="12" customHeight="1" x14ac:dyDescent="0.3">
      <c r="B16" s="7"/>
      <c r="C16" s="1"/>
      <c r="D16" s="138" t="str">
        <f>IF(_WAEH=2,"volle DM","volle EURO")</f>
        <v>volle EURO</v>
      </c>
      <c r="I16" s="155"/>
    </row>
    <row r="17" spans="2:9" ht="15" customHeight="1" x14ac:dyDescent="0.3">
      <c r="B17" s="132" t="s">
        <v>150</v>
      </c>
      <c r="C17" s="1"/>
      <c r="D17" s="62"/>
      <c r="E17" s="10" t="s">
        <v>432</v>
      </c>
      <c r="F17" s="224" t="s">
        <v>646</v>
      </c>
      <c r="G17" s="224"/>
      <c r="H17" s="348"/>
      <c r="I17" s="340"/>
    </row>
    <row r="18" spans="2:9" ht="15" customHeight="1" x14ac:dyDescent="0.3">
      <c r="B18" s="132" t="s">
        <v>151</v>
      </c>
      <c r="C18" s="1"/>
      <c r="D18" s="62"/>
      <c r="E18" s="10" t="s">
        <v>435</v>
      </c>
      <c r="F18" s="224" t="s">
        <v>647</v>
      </c>
      <c r="G18" s="224"/>
      <c r="H18" s="348"/>
      <c r="I18" s="340"/>
    </row>
    <row r="19" spans="2:9" ht="15" customHeight="1" thickBot="1" x14ac:dyDescent="0.35">
      <c r="B19" s="132" t="s">
        <v>597</v>
      </c>
      <c r="C19" s="1"/>
      <c r="D19" s="62"/>
      <c r="E19" s="10" t="s">
        <v>436</v>
      </c>
      <c r="F19" s="225" t="s">
        <v>648</v>
      </c>
      <c r="G19" s="225"/>
      <c r="H19" s="349"/>
      <c r="I19" s="340"/>
    </row>
    <row r="20" spans="2:9" ht="15" customHeight="1" thickBot="1" x14ac:dyDescent="0.35">
      <c r="B20" s="1" t="s">
        <v>567</v>
      </c>
      <c r="C20" s="1"/>
      <c r="D20" s="21">
        <f>IF(AND(ISBLANK(_LG02),ISBLANK(_LG04),ISBLANK(_LG06)),0,_LG02+_LG04+_LG06)</f>
        <v>0</v>
      </c>
      <c r="E20" s="11" t="s">
        <v>437</v>
      </c>
      <c r="F20" s="224">
        <f>(_PB04+_PB05)</f>
        <v>0</v>
      </c>
      <c r="G20" s="225" t="s">
        <v>645</v>
      </c>
      <c r="H20" s="349"/>
      <c r="I20" s="155"/>
    </row>
    <row r="21" spans="2:9" ht="12" customHeight="1" x14ac:dyDescent="0.25">
      <c r="I21" s="155"/>
    </row>
    <row r="22" spans="2:9" ht="12" customHeight="1" x14ac:dyDescent="0.3">
      <c r="B22" s="150" t="s">
        <v>154</v>
      </c>
      <c r="I22" s="155"/>
    </row>
    <row r="23" spans="2:9" ht="8.25" customHeight="1" x14ac:dyDescent="0.25">
      <c r="I23" s="155"/>
    </row>
    <row r="24" spans="2:9" ht="12" customHeight="1" x14ac:dyDescent="0.25">
      <c r="B24" s="132" t="s">
        <v>797</v>
      </c>
      <c r="D24" s="138" t="str">
        <f>IF(_WAEH=2,"volle DM","volle EURO")</f>
        <v>volle EURO</v>
      </c>
      <c r="I24" s="155"/>
    </row>
    <row r="25" spans="2:9" ht="15" customHeight="1" x14ac:dyDescent="0.25">
      <c r="B25" s="132" t="s">
        <v>152</v>
      </c>
      <c r="D25" s="62"/>
      <c r="E25" s="10" t="s">
        <v>438</v>
      </c>
      <c r="I25" s="340"/>
    </row>
    <row r="26" spans="2:9" ht="12" customHeight="1" x14ac:dyDescent="0.25">
      <c r="I26" s="155"/>
    </row>
    <row r="27" spans="2:9" ht="13" x14ac:dyDescent="0.3">
      <c r="B27" s="1" t="s">
        <v>153</v>
      </c>
      <c r="D27" s="138" t="str">
        <f>IF(_WAEH=2,"volle DM","volle EURO")</f>
        <v>volle EURO</v>
      </c>
      <c r="I27" s="155"/>
    </row>
    <row r="28" spans="2:9" ht="15" customHeight="1" x14ac:dyDescent="0.25">
      <c r="B28" s="131" t="s">
        <v>801</v>
      </c>
      <c r="D28" s="62"/>
      <c r="E28" s="10" t="s">
        <v>667</v>
      </c>
      <c r="I28" s="340"/>
    </row>
    <row r="29" spans="2:9" ht="6" customHeight="1" x14ac:dyDescent="0.25">
      <c r="I29" s="155"/>
    </row>
    <row r="30" spans="2:9" ht="13.5" thickBot="1" x14ac:dyDescent="0.35">
      <c r="C30" s="1"/>
      <c r="D30" s="138" t="str">
        <f>IF(_WAEH=2,"volle DM","volle EURO")</f>
        <v>volle EURO</v>
      </c>
      <c r="I30" s="155"/>
    </row>
    <row r="31" spans="2:9" ht="15" customHeight="1" thickBot="1" x14ac:dyDescent="0.35">
      <c r="B31" s="1" t="s">
        <v>567</v>
      </c>
      <c r="C31" s="1"/>
      <c r="D31" s="21">
        <f>IF(AND(ISBLANK(_BA31),ISBLANK(_BA32),ISBLANK(_BA33),ISBLANK(_BA34)),"",_BA31+_BA32+_BA33-_BA34)</f>
        <v>0</v>
      </c>
      <c r="E31" s="11" t="s">
        <v>458</v>
      </c>
      <c r="I31" s="155"/>
    </row>
    <row r="32" spans="2:9" ht="13" x14ac:dyDescent="0.3">
      <c r="B32" s="1"/>
      <c r="C32" s="1"/>
      <c r="D32" s="1"/>
      <c r="E32" s="1"/>
      <c r="F32" s="1"/>
      <c r="I32" s="155"/>
    </row>
    <row r="33" spans="2:9" ht="13" x14ac:dyDescent="0.3">
      <c r="B33" s="1" t="s">
        <v>1165</v>
      </c>
      <c r="D33" s="1"/>
      <c r="E33" s="1"/>
      <c r="F33" s="1"/>
      <c r="I33" s="155"/>
    </row>
    <row r="34" spans="2:9" ht="10" customHeight="1" x14ac:dyDescent="0.25">
      <c r="I34" s="155"/>
    </row>
    <row r="35" spans="2:9" ht="13" x14ac:dyDescent="0.3">
      <c r="B35" s="131" t="s">
        <v>109</v>
      </c>
      <c r="C35" s="1"/>
      <c r="D35" s="138" t="str">
        <f>IF(_WAEH=2,"volle DM","volle EURO")</f>
        <v>volle EURO</v>
      </c>
      <c r="E35" s="1"/>
      <c r="F35" s="1"/>
      <c r="I35" s="155"/>
    </row>
    <row r="36" spans="2:9" ht="15" customHeight="1" x14ac:dyDescent="0.3">
      <c r="B36" s="131" t="s">
        <v>802</v>
      </c>
      <c r="C36" s="1"/>
      <c r="D36" s="62"/>
      <c r="E36" s="10" t="s">
        <v>668</v>
      </c>
      <c r="F36" s="320" t="s">
        <v>502</v>
      </c>
      <c r="I36" s="340" t="s">
        <v>1792</v>
      </c>
    </row>
    <row r="37" spans="2:9" ht="13" x14ac:dyDescent="0.3">
      <c r="C37" s="1"/>
      <c r="I37" s="321" t="s">
        <v>503</v>
      </c>
    </row>
    <row r="38" spans="2:9" ht="13" x14ac:dyDescent="0.3">
      <c r="B38" s="1" t="s">
        <v>32</v>
      </c>
      <c r="C38" s="1"/>
      <c r="I38" s="7"/>
    </row>
    <row r="39" spans="2:9" x14ac:dyDescent="0.25">
      <c r="B39" s="23" t="s">
        <v>33</v>
      </c>
      <c r="I39" s="7"/>
    </row>
    <row r="40" spans="2:9" ht="13" x14ac:dyDescent="0.3">
      <c r="B40" s="131"/>
      <c r="C40" s="1"/>
      <c r="D40" s="138" t="str">
        <f>IF(_WAEH=2,"volle DM","volle EURO")</f>
        <v>volle EURO</v>
      </c>
      <c r="E40" s="1"/>
      <c r="F40" s="1"/>
      <c r="I40" s="7"/>
    </row>
    <row r="41" spans="2:9" ht="15" customHeight="1" x14ac:dyDescent="0.3">
      <c r="B41" s="132" t="s">
        <v>155</v>
      </c>
      <c r="C41" s="1"/>
      <c r="D41" s="62"/>
      <c r="E41" s="10" t="s">
        <v>669</v>
      </c>
      <c r="F41" s="320" t="s">
        <v>502</v>
      </c>
      <c r="I41" s="340"/>
    </row>
    <row r="42" spans="2:9" ht="15" customHeight="1" x14ac:dyDescent="0.3">
      <c r="B42" s="131" t="s">
        <v>156</v>
      </c>
      <c r="C42" s="1"/>
      <c r="D42" s="62"/>
      <c r="E42" s="10" t="s">
        <v>670</v>
      </c>
      <c r="F42" s="320" t="s">
        <v>502</v>
      </c>
      <c r="I42" s="340"/>
    </row>
    <row r="43" spans="2:9" ht="15" customHeight="1" x14ac:dyDescent="0.3">
      <c r="B43" s="131" t="s">
        <v>157</v>
      </c>
      <c r="C43" s="1"/>
      <c r="D43" s="62"/>
      <c r="E43" s="10" t="s">
        <v>671</v>
      </c>
      <c r="F43" s="320" t="s">
        <v>502</v>
      </c>
      <c r="I43" s="340"/>
    </row>
    <row r="44" spans="2:9" ht="12" customHeight="1" x14ac:dyDescent="0.25">
      <c r="B44" s="131"/>
      <c r="I44" s="321" t="s">
        <v>503</v>
      </c>
    </row>
    <row r="45" spans="2:9" ht="13" x14ac:dyDescent="0.3">
      <c r="B45" s="131" t="s">
        <v>803</v>
      </c>
      <c r="C45" s="1"/>
      <c r="D45" s="138" t="str">
        <f>IF(_WAEH=2,"volle DM","volle EURO")</f>
        <v>volle EURO</v>
      </c>
      <c r="I45" s="7"/>
    </row>
    <row r="46" spans="2:9" ht="15" customHeight="1" x14ac:dyDescent="0.3">
      <c r="B46" s="131" t="s">
        <v>804</v>
      </c>
      <c r="C46" s="1"/>
      <c r="D46" s="62"/>
      <c r="E46" s="10" t="s">
        <v>672</v>
      </c>
      <c r="F46" s="320" t="s">
        <v>502</v>
      </c>
      <c r="I46" s="340"/>
    </row>
    <row r="47" spans="2:9" ht="10" customHeight="1" x14ac:dyDescent="0.25">
      <c r="I47" s="321" t="s">
        <v>503</v>
      </c>
    </row>
    <row r="48" spans="2:9" ht="13" x14ac:dyDescent="0.3">
      <c r="C48" s="1"/>
      <c r="D48" s="138" t="str">
        <f>IF(_WAEH=2,"volle DM","volle EURO")</f>
        <v>volle EURO</v>
      </c>
      <c r="I48" s="7"/>
    </row>
    <row r="49" spans="2:9" ht="15" customHeight="1" x14ac:dyDescent="0.3">
      <c r="B49" s="159" t="s">
        <v>110</v>
      </c>
      <c r="C49" s="1"/>
      <c r="D49" s="62"/>
      <c r="E49" s="10" t="s">
        <v>673</v>
      </c>
      <c r="F49" s="320" t="s">
        <v>502</v>
      </c>
      <c r="I49" s="340"/>
    </row>
    <row r="50" spans="2:9" ht="10" customHeight="1" x14ac:dyDescent="0.25">
      <c r="I50" s="321" t="s">
        <v>503</v>
      </c>
    </row>
    <row r="51" spans="2:9" ht="13" x14ac:dyDescent="0.3">
      <c r="B51" s="1" t="s">
        <v>153</v>
      </c>
      <c r="D51" s="138" t="str">
        <f>IF(_WAEH=2,"volle DM","volle EURO")</f>
        <v>volle EURO</v>
      </c>
      <c r="I51" s="7"/>
    </row>
    <row r="52" spans="2:9" ht="15" customHeight="1" x14ac:dyDescent="0.3">
      <c r="B52" s="159" t="s">
        <v>111</v>
      </c>
      <c r="C52" s="1"/>
      <c r="D52" s="62"/>
      <c r="E52" s="10" t="s">
        <v>674</v>
      </c>
      <c r="F52" s="320" t="s">
        <v>502</v>
      </c>
      <c r="I52" s="340"/>
    </row>
    <row r="53" spans="2:9" ht="10" customHeight="1" x14ac:dyDescent="0.25">
      <c r="I53" s="321" t="s">
        <v>503</v>
      </c>
    </row>
    <row r="54" spans="2:9" ht="13" thickBot="1" x14ac:dyDescent="0.3">
      <c r="D54" s="138" t="str">
        <f>IF(_WAEH=2,"volle DM","volle EURO")</f>
        <v>volle EURO</v>
      </c>
      <c r="I54" s="7"/>
    </row>
    <row r="55" spans="2:9" ht="15" customHeight="1" thickBot="1" x14ac:dyDescent="0.35">
      <c r="B55" s="1" t="s">
        <v>676</v>
      </c>
      <c r="C55" s="1"/>
      <c r="D55" s="21" t="str">
        <f>IF(AND(ISBLANK(_XX29),ISBLANK(_XX30),ISBLANK(_XX31),ISBLANK(_XX32),ISBLANK(_XX33),ISBLANK(_XX34),ISBLANK(_XX35)),"",_XX29+_XX30+_XX31+_XX32+_XX33+_XX34-_XX35)</f>
        <v/>
      </c>
      <c r="E55" s="11" t="s">
        <v>459</v>
      </c>
      <c r="F55" s="320" t="s">
        <v>502</v>
      </c>
      <c r="I55" s="321" t="s">
        <v>503</v>
      </c>
    </row>
    <row r="56" spans="2:9" ht="15" customHeight="1" thickBot="1" x14ac:dyDescent="0.35">
      <c r="B56" s="9" t="s">
        <v>805</v>
      </c>
      <c r="C56" s="1"/>
      <c r="D56" s="75"/>
      <c r="E56" s="11" t="s">
        <v>675</v>
      </c>
      <c r="I56" s="340"/>
    </row>
    <row r="57" spans="2:9" x14ac:dyDescent="0.25">
      <c r="I57" s="7"/>
    </row>
    <row r="58" spans="2:9" ht="13" x14ac:dyDescent="0.3">
      <c r="B58" s="1" t="s">
        <v>1166</v>
      </c>
      <c r="I58" s="7"/>
    </row>
    <row r="59" spans="2:9" ht="13" thickBot="1" x14ac:dyDescent="0.3">
      <c r="D59" s="138" t="str">
        <f>IF(_WAEH=2,"volle DM","volle EURO")</f>
        <v>volle EURO</v>
      </c>
      <c r="I59" s="7"/>
    </row>
    <row r="60" spans="2:9" ht="15" customHeight="1" thickBot="1" x14ac:dyDescent="0.35">
      <c r="B60" s="1" t="s">
        <v>677</v>
      </c>
      <c r="C60" s="1"/>
      <c r="D60" s="21">
        <f>IF(AND(_BA01&lt;&gt;"",_BA09&lt;&gt;""),_BA01+_BA09,IF(AND(_BA01&lt;&gt;"",_BA09=""),_BA01,IF(AND(_BA01="",_BA09&lt;&gt;""),_BA09,"")))</f>
        <v>0</v>
      </c>
      <c r="E60" s="11" t="s">
        <v>460</v>
      </c>
      <c r="I60" s="7"/>
    </row>
    <row r="61" spans="2:9" ht="13" x14ac:dyDescent="0.3">
      <c r="B61" s="1"/>
      <c r="C61" s="1"/>
      <c r="D61" s="25"/>
      <c r="E61" s="1"/>
      <c r="I61" s="7"/>
    </row>
    <row r="62" spans="2:9" ht="13" x14ac:dyDescent="0.3">
      <c r="B62" s="1" t="s">
        <v>1167</v>
      </c>
      <c r="I62" s="7"/>
    </row>
    <row r="63" spans="2:9" ht="8.25" customHeight="1" thickBot="1" x14ac:dyDescent="0.3">
      <c r="I63" s="7"/>
    </row>
    <row r="64" spans="2:9" ht="15" customHeight="1" thickBot="1" x14ac:dyDescent="0.35">
      <c r="B64" s="131" t="s">
        <v>1172</v>
      </c>
      <c r="D64" s="20">
        <f>_PB10</f>
        <v>0</v>
      </c>
      <c r="E64" s="1"/>
      <c r="I64" s="7"/>
    </row>
    <row r="65" spans="2:9" ht="3.75" customHeight="1" x14ac:dyDescent="0.3">
      <c r="D65" s="77"/>
      <c r="E65" s="1"/>
      <c r="I65" s="7"/>
    </row>
    <row r="66" spans="2:9" ht="13" x14ac:dyDescent="0.3">
      <c r="B66" s="131" t="s">
        <v>160</v>
      </c>
      <c r="D66" s="77"/>
      <c r="E66" s="1"/>
      <c r="I66" s="7"/>
    </row>
    <row r="67" spans="2:9" ht="15.75" customHeight="1" x14ac:dyDescent="0.3">
      <c r="B67" s="160" t="s">
        <v>169</v>
      </c>
      <c r="C67" s="1"/>
      <c r="D67" s="138" t="s">
        <v>766</v>
      </c>
      <c r="I67" s="7"/>
    </row>
    <row r="68" spans="2:9" ht="47.25" customHeight="1" x14ac:dyDescent="0.3">
      <c r="B68" s="342" t="s">
        <v>170</v>
      </c>
      <c r="C68" s="1"/>
      <c r="D68" s="60"/>
      <c r="E68" s="10" t="s">
        <v>364</v>
      </c>
      <c r="F68" s="320" t="s">
        <v>502</v>
      </c>
      <c r="G68" s="341" t="str">
        <f>IF(ISBLANK(_PB30),"Angabe zu PB 30 ist unbedingt erforderlich!","")</f>
        <v>Angabe zu PB 30 ist unbedingt erforderlich!</v>
      </c>
      <c r="H68" s="341"/>
      <c r="I68" s="340" t="s">
        <v>1793</v>
      </c>
    </row>
    <row r="69" spans="2:9" ht="15" customHeight="1" x14ac:dyDescent="0.3">
      <c r="B69" s="147" t="s">
        <v>158</v>
      </c>
      <c r="C69" s="1"/>
      <c r="D69" s="80">
        <f>_PB04</f>
        <v>0</v>
      </c>
      <c r="E69" s="81"/>
      <c r="I69" s="321" t="s">
        <v>503</v>
      </c>
    </row>
    <row r="70" spans="2:9" ht="15" customHeight="1" x14ac:dyDescent="0.3">
      <c r="B70" s="147" t="s">
        <v>565</v>
      </c>
      <c r="C70" s="1"/>
      <c r="D70" s="80">
        <f>_PB05</f>
        <v>0</v>
      </c>
      <c r="E70" s="81"/>
      <c r="I70" s="7"/>
    </row>
    <row r="71" spans="2:9" ht="15" customHeight="1" x14ac:dyDescent="0.3">
      <c r="B71" s="147" t="s">
        <v>159</v>
      </c>
      <c r="D71" s="255"/>
      <c r="E71" s="254" t="str">
        <f>IF(D64&lt;&gt;SUM(D68:D71),"Achtung! Verteilter Personalbestand ("&amp;SUM(D68:D71)&amp;") entspricht nicht gesamtem Personalbestand ("&amp;D64&amp;")","")</f>
        <v/>
      </c>
      <c r="I71" s="7"/>
    </row>
    <row r="72" spans="2:9" x14ac:dyDescent="0.25">
      <c r="D72" s="164"/>
      <c r="I72" s="7"/>
    </row>
    <row r="73" spans="2:9" ht="12.75" customHeight="1" x14ac:dyDescent="0.3">
      <c r="B73" s="1" t="s">
        <v>1168</v>
      </c>
      <c r="D73" s="77"/>
      <c r="E73" s="1"/>
      <c r="I73" s="7"/>
    </row>
    <row r="74" spans="2:9" ht="12.75" customHeight="1" x14ac:dyDescent="0.3">
      <c r="B74" s="1"/>
      <c r="D74" s="77"/>
      <c r="E74" s="1"/>
      <c r="I74" s="7"/>
    </row>
    <row r="75" spans="2:9" ht="13" x14ac:dyDescent="0.3">
      <c r="B75" s="1" t="s">
        <v>1171</v>
      </c>
      <c r="D75" s="138" t="str">
        <f>IF(_WAEH=2,"volle DM","volle EURO")</f>
        <v>volle EURO</v>
      </c>
      <c r="E75" s="1"/>
      <c r="I75" s="7"/>
    </row>
    <row r="76" spans="2:9" ht="13" x14ac:dyDescent="0.3">
      <c r="B76" s="1"/>
      <c r="D76" s="138"/>
      <c r="E76" s="1"/>
      <c r="I76" s="7"/>
    </row>
    <row r="77" spans="2:9" ht="13" x14ac:dyDescent="0.3">
      <c r="B77" s="150" t="s">
        <v>1303</v>
      </c>
      <c r="D77" s="138"/>
      <c r="E77" s="1"/>
      <c r="I77" s="7"/>
    </row>
    <row r="78" spans="2:9" ht="15" customHeight="1" x14ac:dyDescent="0.3">
      <c r="B78" s="161" t="s">
        <v>161</v>
      </c>
      <c r="C78" s="1"/>
      <c r="D78" s="62"/>
      <c r="E78" s="10" t="s">
        <v>678</v>
      </c>
      <c r="I78" s="340" t="s">
        <v>1794</v>
      </c>
    </row>
    <row r="79" spans="2:9" ht="15" customHeight="1" x14ac:dyDescent="0.3">
      <c r="B79" s="162" t="s">
        <v>162</v>
      </c>
      <c r="C79" s="1"/>
      <c r="D79" s="62"/>
      <c r="E79" s="10" t="s">
        <v>679</v>
      </c>
      <c r="I79" s="340" t="s">
        <v>1795</v>
      </c>
    </row>
    <row r="80" spans="2:9" ht="18" customHeight="1" x14ac:dyDescent="0.3">
      <c r="B80" s="351" t="s">
        <v>163</v>
      </c>
      <c r="C80" s="1"/>
      <c r="D80" s="62"/>
      <c r="E80" s="10" t="s">
        <v>680</v>
      </c>
      <c r="I80" s="340" t="s">
        <v>1796</v>
      </c>
    </row>
    <row r="81" spans="2:9" ht="45.75" customHeight="1" x14ac:dyDescent="0.3">
      <c r="B81" s="343" t="s">
        <v>1302</v>
      </c>
      <c r="C81" s="1"/>
      <c r="D81" s="62"/>
      <c r="E81" s="10" t="s">
        <v>461</v>
      </c>
      <c r="F81" s="320" t="s">
        <v>502</v>
      </c>
      <c r="G81" s="341" t="str">
        <f>IF(ISBLANK(_BA14),"Angabe zu BA 14 ist unbedingt erforderlich!","")</f>
        <v>Angabe zu BA 14 ist unbedingt erforderlich!</v>
      </c>
      <c r="H81" s="341"/>
      <c r="I81" s="340" t="s">
        <v>1866</v>
      </c>
    </row>
    <row r="82" spans="2:9" ht="13" x14ac:dyDescent="0.3">
      <c r="B82" s="137"/>
      <c r="C82" s="1"/>
      <c r="D82" s="208"/>
      <c r="E82" s="63"/>
      <c r="I82" s="321" t="s">
        <v>503</v>
      </c>
    </row>
    <row r="83" spans="2:9" ht="13" x14ac:dyDescent="0.3">
      <c r="B83" s="163" t="s">
        <v>164</v>
      </c>
      <c r="C83" s="1"/>
      <c r="D83" s="209"/>
      <c r="E83" s="124"/>
      <c r="I83" s="7"/>
    </row>
    <row r="84" spans="2:9" ht="25.5" x14ac:dyDescent="0.3">
      <c r="B84" s="137" t="s">
        <v>165</v>
      </c>
      <c r="C84" s="1"/>
      <c r="D84" s="62"/>
      <c r="E84" s="10" t="s">
        <v>462</v>
      </c>
      <c r="I84" s="340"/>
    </row>
    <row r="85" spans="2:9" ht="13" thickBot="1" x14ac:dyDescent="0.3">
      <c r="B85" s="132" t="s">
        <v>166</v>
      </c>
      <c r="D85" s="79">
        <f>_BA20-_BA15-_BA14-_BA23-_BA22-_BA21</f>
        <v>0</v>
      </c>
      <c r="E85" s="78" t="s">
        <v>681</v>
      </c>
      <c r="I85" s="7"/>
    </row>
    <row r="86" spans="2:9" ht="13.5" thickBot="1" x14ac:dyDescent="0.35">
      <c r="D86" s="21">
        <f>_BA10</f>
        <v>0</v>
      </c>
      <c r="E86" s="76" t="s">
        <v>463</v>
      </c>
    </row>
    <row r="87" spans="2:9" ht="13" x14ac:dyDescent="0.3">
      <c r="D87" s="77"/>
      <c r="E87" s="1"/>
    </row>
    <row r="88" spans="2:9" x14ac:dyDescent="0.25">
      <c r="D88" s="321"/>
    </row>
    <row r="97" spans="2:5" hidden="1" x14ac:dyDescent="0.25">
      <c r="B97" s="9" t="s">
        <v>1122</v>
      </c>
    </row>
    <row r="98" spans="2:5" hidden="1" x14ac:dyDescent="0.25">
      <c r="B98" s="7" t="s">
        <v>1123</v>
      </c>
    </row>
    <row r="99" spans="2:5" hidden="1" x14ac:dyDescent="0.25"/>
    <row r="100" spans="2:5" ht="13" hidden="1" x14ac:dyDescent="0.3">
      <c r="B100" s="1" t="s">
        <v>859</v>
      </c>
    </row>
    <row r="101" spans="2:5" hidden="1" x14ac:dyDescent="0.25">
      <c r="B101" s="36"/>
      <c r="D101" t="str">
        <f>IF(_WAEH=2,"volle DM","volle EURO")</f>
        <v>volle EURO</v>
      </c>
    </row>
    <row r="102" spans="2:5" ht="13" hidden="1" x14ac:dyDescent="0.3">
      <c r="B102" s="14" t="s">
        <v>848</v>
      </c>
      <c r="C102" s="1"/>
      <c r="D102" s="19">
        <f>_BA22</f>
        <v>0</v>
      </c>
      <c r="E102" s="10" t="s">
        <v>427</v>
      </c>
    </row>
    <row r="103" spans="2:5" ht="13" hidden="1" x14ac:dyDescent="0.3">
      <c r="B103" s="15" t="s">
        <v>849</v>
      </c>
      <c r="C103" s="1"/>
      <c r="D103" s="19">
        <f>_BA23</f>
        <v>0</v>
      </c>
      <c r="E103" s="10" t="s">
        <v>428</v>
      </c>
    </row>
    <row r="104" spans="2:5" ht="13" hidden="1" x14ac:dyDescent="0.3">
      <c r="B104" s="14" t="s">
        <v>796</v>
      </c>
      <c r="C104" s="1"/>
      <c r="D104" s="19">
        <f>_BA21</f>
        <v>0</v>
      </c>
      <c r="E104" s="10" t="s">
        <v>429</v>
      </c>
    </row>
    <row r="112" spans="2:5" ht="13" x14ac:dyDescent="0.3">
      <c r="B112" s="12"/>
    </row>
    <row r="117" spans="2:2" ht="13" x14ac:dyDescent="0.3">
      <c r="B117" s="1"/>
    </row>
    <row r="118" spans="2:2" ht="13" x14ac:dyDescent="0.3">
      <c r="B118" s="1"/>
    </row>
    <row r="126" spans="2:2" x14ac:dyDescent="0.25">
      <c r="B126" s="13"/>
    </row>
    <row r="127" spans="2:2" x14ac:dyDescent="0.25">
      <c r="B127" s="13"/>
    </row>
    <row r="128" spans="2:2" x14ac:dyDescent="0.25">
      <c r="B128" s="7"/>
    </row>
    <row r="129" spans="2:2" x14ac:dyDescent="0.25">
      <c r="B129" s="7"/>
    </row>
    <row r="130" spans="2:2" x14ac:dyDescent="0.25">
      <c r="B130" s="7"/>
    </row>
    <row r="131" spans="2:2" x14ac:dyDescent="0.25">
      <c r="B131" s="9"/>
    </row>
    <row r="134" spans="2:2" x14ac:dyDescent="0.25">
      <c r="B134" s="9"/>
    </row>
    <row r="137" spans="2:2" ht="13" x14ac:dyDescent="0.3">
      <c r="B137" s="12"/>
    </row>
    <row r="144" spans="2:2" ht="13" x14ac:dyDescent="0.3">
      <c r="B144" s="12"/>
    </row>
    <row r="146" spans="3:3" ht="13" x14ac:dyDescent="0.3">
      <c r="C146" s="1"/>
    </row>
    <row r="147" spans="3:3" ht="13" x14ac:dyDescent="0.3">
      <c r="C147" s="1"/>
    </row>
    <row r="148" spans="3:3" ht="13" x14ac:dyDescent="0.3">
      <c r="C148" s="1"/>
    </row>
    <row r="149" spans="3:3" ht="13" x14ac:dyDescent="0.3">
      <c r="C149" s="1"/>
    </row>
    <row r="150" spans="3:3" ht="13" x14ac:dyDescent="0.3">
      <c r="C150" s="1"/>
    </row>
    <row r="151" spans="3:3" ht="13" x14ac:dyDescent="0.3">
      <c r="C151" s="1"/>
    </row>
    <row r="152" spans="3:3" ht="13" x14ac:dyDescent="0.3">
      <c r="C152" s="1"/>
    </row>
    <row r="153" spans="3:3" ht="13" x14ac:dyDescent="0.3">
      <c r="C153" s="1"/>
    </row>
    <row r="154" spans="3:3" ht="13" x14ac:dyDescent="0.3">
      <c r="C154" s="1"/>
    </row>
    <row r="155" spans="3:3" ht="13" x14ac:dyDescent="0.3">
      <c r="C155" s="1"/>
    </row>
    <row r="156" spans="3:3" ht="13" x14ac:dyDescent="0.3">
      <c r="C156" s="1"/>
    </row>
    <row r="157" spans="3:3" ht="13" x14ac:dyDescent="0.3">
      <c r="C157" s="1"/>
    </row>
    <row r="158" spans="3:3" ht="13" x14ac:dyDescent="0.3">
      <c r="C158" s="1"/>
    </row>
    <row r="159" spans="3:3" ht="13" x14ac:dyDescent="0.3">
      <c r="C159" s="1"/>
    </row>
    <row r="160" spans="3:3" ht="13" x14ac:dyDescent="0.3">
      <c r="C160" s="1"/>
    </row>
  </sheetData>
  <sheetProtection password="92CE" sheet="1"/>
  <phoneticPr fontId="0" type="noConversion"/>
  <dataValidations count="1">
    <dataValidation operator="greaterThan" allowBlank="1" showInputMessage="1" showErrorMessage="1" errorTitle="Fehler" error="Ihre Eingabe muss numerisch und darf nicht &quot;0&quot; sein!" sqref="D68:D70" xr:uid="{00000000-0002-0000-0900-000000000000}"/>
  </dataValidations>
  <pageMargins left="0.78740157499999996" right="0.42" top="0.65" bottom="0.44" header="0.28999999999999998" footer="0.22"/>
  <pageSetup paperSize="9" scale="70" fitToHeight="2" orientation="portrait" horizontalDpi="4294967292" r:id="rId1"/>
  <headerFooter alignWithMargins="0">
    <oddFooter>&amp;C&amp;"Arial,Fett"Teil II - Seite &amp;P</oddFooter>
  </headerFooter>
  <rowBreaks count="1" manualBreakCount="1">
    <brk id="8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5372" r:id="rId4" name="Button 12">
              <controlPr defaultSize="0" print="0" autoFill="0" autoPict="0" macro="[0]!zur_Kontrolle">
                <anchor moveWithCells="1" sizeWithCells="1">
                  <from>
                    <xdr:col>1</xdr:col>
                    <xdr:colOff>0</xdr:colOff>
                    <xdr:row>86</xdr:row>
                    <xdr:rowOff>0</xdr:rowOff>
                  </from>
                  <to>
                    <xdr:col>1</xdr:col>
                    <xdr:colOff>768350</xdr:colOff>
                    <xdr:row>87</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
  <dimension ref="B3:G28"/>
  <sheetViews>
    <sheetView showGridLines="0" zoomScaleNormal="100" workbookViewId="0">
      <selection activeCell="D8" sqref="D8"/>
    </sheetView>
  </sheetViews>
  <sheetFormatPr baseColWidth="10" defaultColWidth="11.453125" defaultRowHeight="12.5" x14ac:dyDescent="0.25"/>
  <cols>
    <col min="2" max="2" width="51.1796875" customWidth="1"/>
    <col min="3" max="3" width="6.54296875" style="7" customWidth="1"/>
    <col min="4" max="4" width="18.7265625" customWidth="1"/>
    <col min="5" max="5" width="8.81640625" customWidth="1"/>
    <col min="6" max="6" width="4.54296875" customWidth="1"/>
    <col min="7" max="7" width="24.1796875" customWidth="1"/>
  </cols>
  <sheetData>
    <row r="3" spans="2:7" ht="13" x14ac:dyDescent="0.3">
      <c r="B3" s="1" t="s">
        <v>959</v>
      </c>
    </row>
    <row r="4" spans="2:7" ht="13" x14ac:dyDescent="0.3">
      <c r="B4" s="1" t="s">
        <v>960</v>
      </c>
    </row>
    <row r="7" spans="2:7" ht="13" x14ac:dyDescent="0.3">
      <c r="B7" s="70" t="s">
        <v>794</v>
      </c>
      <c r="D7" t="s">
        <v>766</v>
      </c>
      <c r="G7" s="7"/>
    </row>
    <row r="8" spans="2:7" x14ac:dyDescent="0.25">
      <c r="B8" s="41" t="s">
        <v>1098</v>
      </c>
      <c r="C8" s="7" t="s">
        <v>334</v>
      </c>
      <c r="D8" s="68"/>
      <c r="E8" s="10" t="s">
        <v>1100</v>
      </c>
      <c r="G8" s="340"/>
    </row>
    <row r="9" spans="2:7" x14ac:dyDescent="0.25">
      <c r="B9" s="41" t="s">
        <v>1099</v>
      </c>
      <c r="C9" s="7" t="s">
        <v>334</v>
      </c>
      <c r="D9" s="68"/>
      <c r="E9" s="10" t="s">
        <v>1101</v>
      </c>
      <c r="G9" s="340"/>
    </row>
    <row r="10" spans="2:7" x14ac:dyDescent="0.25">
      <c r="G10" s="155"/>
    </row>
    <row r="11" spans="2:7" ht="12.75" customHeight="1" x14ac:dyDescent="0.3">
      <c r="B11" s="12" t="s">
        <v>894</v>
      </c>
      <c r="D11" t="s">
        <v>360</v>
      </c>
      <c r="G11" s="155"/>
    </row>
    <row r="12" spans="2:7" ht="12.75" customHeight="1" x14ac:dyDescent="0.25">
      <c r="B12" t="s">
        <v>1094</v>
      </c>
      <c r="D12" s="65">
        <f>_SE01</f>
        <v>0</v>
      </c>
      <c r="E12" s="10" t="s">
        <v>416</v>
      </c>
      <c r="G12" s="155"/>
    </row>
    <row r="13" spans="2:7" ht="12.75" customHeight="1" x14ac:dyDescent="0.25">
      <c r="B13" t="s">
        <v>1095</v>
      </c>
      <c r="D13" s="68"/>
      <c r="E13" s="10" t="s">
        <v>1102</v>
      </c>
      <c r="G13" s="340"/>
    </row>
    <row r="14" spans="2:7" ht="12.75" customHeight="1" x14ac:dyDescent="0.25">
      <c r="B14" t="s">
        <v>1222</v>
      </c>
      <c r="D14" s="65">
        <f>_UE20</f>
        <v>0</v>
      </c>
      <c r="E14" s="10" t="s">
        <v>411</v>
      </c>
      <c r="G14" s="155"/>
    </row>
    <row r="15" spans="2:7" ht="12.75" customHeight="1" thickBot="1" x14ac:dyDescent="0.3">
      <c r="B15" t="s">
        <v>1096</v>
      </c>
      <c r="D15" s="69"/>
      <c r="E15" s="50" t="s">
        <v>1103</v>
      </c>
      <c r="G15" s="340"/>
    </row>
    <row r="16" spans="2:7" ht="12.75" customHeight="1" thickBot="1" x14ac:dyDescent="0.35">
      <c r="B16" s="1" t="s">
        <v>961</v>
      </c>
      <c r="D16" s="21">
        <f>SUM(D12:D15)</f>
        <v>0</v>
      </c>
      <c r="E16" s="76"/>
      <c r="G16" s="155"/>
    </row>
    <row r="17" spans="2:7" x14ac:dyDescent="0.25">
      <c r="G17" s="155"/>
    </row>
    <row r="18" spans="2:7" hidden="1" x14ac:dyDescent="0.25">
      <c r="B18" s="41"/>
      <c r="C18" s="29"/>
      <c r="D18" s="33"/>
      <c r="G18" s="155"/>
    </row>
    <row r="19" spans="2:7" ht="13" hidden="1" x14ac:dyDescent="0.3">
      <c r="B19" s="70" t="s">
        <v>55</v>
      </c>
      <c r="G19" s="155"/>
    </row>
    <row r="20" spans="2:7" hidden="1" x14ac:dyDescent="0.25">
      <c r="B20" s="41" t="s">
        <v>962</v>
      </c>
      <c r="D20" s="65">
        <f>_IK01</f>
        <v>0</v>
      </c>
      <c r="E20" s="10" t="s">
        <v>423</v>
      </c>
      <c r="G20" s="155"/>
    </row>
    <row r="21" spans="2:7" ht="13" hidden="1" thickBot="1" x14ac:dyDescent="0.3">
      <c r="G21" s="340"/>
    </row>
    <row r="22" spans="2:7" ht="13.5" hidden="1" thickBot="1" x14ac:dyDescent="0.35">
      <c r="B22" s="41"/>
      <c r="D22" s="21">
        <f>SUM(D20:D20)</f>
        <v>0</v>
      </c>
      <c r="E22" s="11" t="s">
        <v>1097</v>
      </c>
      <c r="G22" s="155"/>
    </row>
    <row r="23" spans="2:7" x14ac:dyDescent="0.25">
      <c r="G23" s="155"/>
    </row>
    <row r="24" spans="2:7" ht="13" x14ac:dyDescent="0.3">
      <c r="B24" s="70" t="s">
        <v>359</v>
      </c>
      <c r="D24" t="s">
        <v>766</v>
      </c>
      <c r="G24" s="155"/>
    </row>
    <row r="25" spans="2:7" x14ac:dyDescent="0.25">
      <c r="B25" t="s">
        <v>1281</v>
      </c>
      <c r="C25" s="7" t="s">
        <v>334</v>
      </c>
      <c r="D25" s="68"/>
      <c r="E25" s="10" t="s">
        <v>361</v>
      </c>
      <c r="G25" s="340"/>
    </row>
    <row r="26" spans="2:7" x14ac:dyDescent="0.25">
      <c r="G26" s="155"/>
    </row>
    <row r="27" spans="2:7" x14ac:dyDescent="0.25">
      <c r="D27" t="s">
        <v>360</v>
      </c>
      <c r="G27" s="155"/>
    </row>
    <row r="28" spans="2:7" x14ac:dyDescent="0.25">
      <c r="B28" t="s">
        <v>1282</v>
      </c>
      <c r="D28" s="68"/>
      <c r="E28" s="10" t="s">
        <v>362</v>
      </c>
      <c r="G28" s="340"/>
    </row>
  </sheetData>
  <sheetProtection password="DEA8" sheet="1"/>
  <phoneticPr fontId="0" type="noConversion"/>
  <pageMargins left="0.78740157499999996" right="0.78740157499999996" top="0.984251969" bottom="0.984251969" header="0.4921259845" footer="0.4921259845"/>
  <pageSetup paperSize="9" scale="76" orientation="portrait" r:id="rId1"/>
  <headerFooter alignWithMargins="0">
    <oddFooter>&amp;C&amp;"Arial,Fett"Teil AGW</oddFooter>
  </headerFooter>
  <colBreaks count="1" manualBreakCount="1">
    <brk id="6" max="1048575" man="1"/>
  </colBreaks>
  <drawing r:id="rId2"/>
  <legacyDrawing r:id="rId3"/>
  <controls>
    <mc:AlternateContent xmlns:mc="http://schemas.openxmlformats.org/markup-compatibility/2006">
      <mc:Choice Requires="x14">
        <control shapeId="20486" r:id="rId4" name="CommandButton1">
          <controlPr defaultSize="0" autoLine="0" altText="zur Kontrolle" r:id="rId5">
            <anchor moveWithCells="1">
              <from>
                <xdr:col>2</xdr:col>
                <xdr:colOff>298450</xdr:colOff>
                <xdr:row>31</xdr:row>
                <xdr:rowOff>31750</xdr:rowOff>
              </from>
              <to>
                <xdr:col>4</xdr:col>
                <xdr:colOff>209550</xdr:colOff>
                <xdr:row>33</xdr:row>
                <xdr:rowOff>127000</xdr:rowOff>
              </to>
            </anchor>
          </controlPr>
        </control>
      </mc:Choice>
      <mc:Fallback>
        <control shapeId="20486" r:id="rId4" name="CommandButton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3"/>
  <dimension ref="A1:E111"/>
  <sheetViews>
    <sheetView topLeftCell="A16" workbookViewId="0">
      <selection activeCell="C27" sqref="C27"/>
    </sheetView>
  </sheetViews>
  <sheetFormatPr baseColWidth="10" defaultRowHeight="12.5" x14ac:dyDescent="0.25"/>
  <cols>
    <col min="1" max="1" width="59.54296875" style="13" bestFit="1" customWidth="1"/>
    <col min="2" max="2" width="6.453125" style="13" customWidth="1"/>
    <col min="3" max="3" width="13.26953125" style="438" customWidth="1"/>
    <col min="4" max="4" width="3.26953125" style="438" customWidth="1"/>
    <col min="5" max="5" width="13" style="438" customWidth="1"/>
  </cols>
  <sheetData>
    <row r="1" spans="1:5" x14ac:dyDescent="0.25">
      <c r="A1" s="256" t="s">
        <v>1797</v>
      </c>
      <c r="B1" s="434"/>
      <c r="C1" s="435" t="s">
        <v>1798</v>
      </c>
      <c r="D1" s="436"/>
      <c r="E1" s="435"/>
    </row>
    <row r="2" spans="1:5" x14ac:dyDescent="0.25">
      <c r="A2" s="256"/>
      <c r="B2" s="434"/>
      <c r="C2" s="361"/>
      <c r="D2" s="371"/>
      <c r="E2" s="437"/>
    </row>
    <row r="3" spans="1:5" x14ac:dyDescent="0.25">
      <c r="B3" s="434"/>
    </row>
    <row r="4" spans="1:5" x14ac:dyDescent="0.25">
      <c r="A4" s="256" t="s">
        <v>1799</v>
      </c>
      <c r="B4" s="434"/>
    </row>
    <row r="5" spans="1:5" x14ac:dyDescent="0.25">
      <c r="A5" s="13" t="s">
        <v>1800</v>
      </c>
      <c r="B5" s="434" t="s">
        <v>196</v>
      </c>
    </row>
    <row r="6" spans="1:5" x14ac:dyDescent="0.25">
      <c r="A6" s="13" t="s">
        <v>1801</v>
      </c>
      <c r="B6" s="434" t="s">
        <v>196</v>
      </c>
    </row>
    <row r="7" spans="1:5" x14ac:dyDescent="0.25">
      <c r="A7" s="13" t="s">
        <v>1802</v>
      </c>
      <c r="B7" s="434" t="s">
        <v>544</v>
      </c>
    </row>
    <row r="8" spans="1:5" x14ac:dyDescent="0.25">
      <c r="B8" s="434"/>
    </row>
    <row r="9" spans="1:5" s="438" customFormat="1" ht="11.5" x14ac:dyDescent="0.25">
      <c r="A9" s="256" t="s">
        <v>1803</v>
      </c>
      <c r="B9" s="434"/>
    </row>
    <row r="10" spans="1:5" s="438" customFormat="1" ht="11.5" x14ac:dyDescent="0.25">
      <c r="A10" s="13" t="s">
        <v>1804</v>
      </c>
      <c r="B10" s="434" t="s">
        <v>766</v>
      </c>
      <c r="C10" s="439"/>
      <c r="D10" s="439"/>
    </row>
    <row r="11" spans="1:5" s="438" customFormat="1" ht="11.5" x14ac:dyDescent="0.25">
      <c r="A11" s="13" t="s">
        <v>1805</v>
      </c>
      <c r="B11" s="434" t="s">
        <v>766</v>
      </c>
      <c r="C11" s="439"/>
      <c r="D11" s="439"/>
    </row>
    <row r="12" spans="1:5" s="438" customFormat="1" ht="11.5" x14ac:dyDescent="0.25">
      <c r="A12" s="13" t="s">
        <v>1806</v>
      </c>
      <c r="B12" s="434" t="s">
        <v>766</v>
      </c>
      <c r="C12" s="439"/>
      <c r="D12" s="439"/>
    </row>
    <row r="13" spans="1:5" s="438" customFormat="1" ht="11.5" x14ac:dyDescent="0.25">
      <c r="A13" s="450" t="s">
        <v>1807</v>
      </c>
      <c r="B13" s="451"/>
      <c r="C13" s="453" t="e">
        <v>#REF!</v>
      </c>
      <c r="D13" s="439"/>
    </row>
    <row r="14" spans="1:5" s="438" customFormat="1" ht="11.5" x14ac:dyDescent="0.25">
      <c r="A14" s="13" t="s">
        <v>1808</v>
      </c>
      <c r="B14" s="434" t="s">
        <v>544</v>
      </c>
    </row>
    <row r="15" spans="1:5" s="438" customFormat="1" ht="11.5" x14ac:dyDescent="0.25">
      <c r="A15" s="13" t="s">
        <v>1809</v>
      </c>
      <c r="B15" s="434" t="s">
        <v>544</v>
      </c>
    </row>
    <row r="16" spans="1:5" s="438" customFormat="1" ht="11.5" x14ac:dyDescent="0.25">
      <c r="A16" s="13" t="s">
        <v>1810</v>
      </c>
      <c r="B16" s="434" t="s">
        <v>196</v>
      </c>
    </row>
    <row r="17" spans="1:4" s="438" customFormat="1" ht="11.5" x14ac:dyDescent="0.25">
      <c r="A17" s="13" t="s">
        <v>1801</v>
      </c>
      <c r="B17" s="434" t="s">
        <v>196</v>
      </c>
    </row>
    <row r="18" spans="1:4" s="438" customFormat="1" ht="11.5" x14ac:dyDescent="0.25">
      <c r="A18" s="13" t="s">
        <v>1811</v>
      </c>
      <c r="B18" s="434" t="s">
        <v>196</v>
      </c>
    </row>
    <row r="19" spans="1:4" s="438" customFormat="1" ht="11.5" x14ac:dyDescent="0.25">
      <c r="A19" s="13" t="s">
        <v>1812</v>
      </c>
      <c r="B19" s="434" t="s">
        <v>196</v>
      </c>
    </row>
    <row r="20" spans="1:4" s="438" customFormat="1" ht="11.5" x14ac:dyDescent="0.25">
      <c r="A20" s="13" t="s">
        <v>1801</v>
      </c>
      <c r="B20" s="434" t="s">
        <v>196</v>
      </c>
    </row>
    <row r="21" spans="1:4" s="438" customFormat="1" ht="11.5" x14ac:dyDescent="0.25">
      <c r="A21" s="13" t="s">
        <v>1813</v>
      </c>
      <c r="B21" s="434" t="s">
        <v>196</v>
      </c>
    </row>
    <row r="22" spans="1:4" s="438" customFormat="1" ht="11.5" x14ac:dyDescent="0.25">
      <c r="A22" s="13" t="s">
        <v>1814</v>
      </c>
      <c r="B22" s="434" t="s">
        <v>766</v>
      </c>
      <c r="C22" s="439"/>
      <c r="D22" s="439"/>
    </row>
    <row r="23" spans="1:4" s="438" customFormat="1" ht="11.5" x14ac:dyDescent="0.25">
      <c r="A23" s="13"/>
      <c r="B23" s="434"/>
      <c r="C23" s="439"/>
      <c r="D23" s="439"/>
    </row>
    <row r="24" spans="1:4" s="438" customFormat="1" ht="11.5" x14ac:dyDescent="0.25">
      <c r="A24" s="256" t="s">
        <v>1815</v>
      </c>
      <c r="B24" s="434"/>
    </row>
    <row r="25" spans="1:4" s="438" customFormat="1" ht="11.5" x14ac:dyDescent="0.25">
      <c r="A25" s="13" t="s">
        <v>1816</v>
      </c>
      <c r="B25" s="434" t="s">
        <v>766</v>
      </c>
      <c r="C25" s="439">
        <f>_VE01+_VE03</f>
        <v>0</v>
      </c>
      <c r="D25" s="439"/>
    </row>
    <row r="26" spans="1:4" s="438" customFormat="1" ht="11.5" x14ac:dyDescent="0.25">
      <c r="A26" s="13" t="s">
        <v>1817</v>
      </c>
      <c r="B26" s="434" t="s">
        <v>766</v>
      </c>
      <c r="C26" s="439"/>
      <c r="D26" s="439"/>
    </row>
    <row r="27" spans="1:4" s="438" customFormat="1" ht="11.5" x14ac:dyDescent="0.25">
      <c r="A27" s="13" t="s">
        <v>1818</v>
      </c>
      <c r="B27" s="434" t="s">
        <v>196</v>
      </c>
      <c r="C27" s="438" t="e">
        <v>#REF!</v>
      </c>
    </row>
    <row r="28" spans="1:4" s="438" customFormat="1" ht="11.5" x14ac:dyDescent="0.25">
      <c r="A28" s="13" t="s">
        <v>1819</v>
      </c>
      <c r="B28" s="434" t="s">
        <v>196</v>
      </c>
    </row>
    <row r="29" spans="1:4" s="438" customFormat="1" ht="11.5" x14ac:dyDescent="0.25">
      <c r="A29" s="13" t="s">
        <v>1820</v>
      </c>
      <c r="B29" s="434" t="s">
        <v>196</v>
      </c>
      <c r="C29" s="438" t="e">
        <v>#REF!</v>
      </c>
      <c r="D29" s="13"/>
    </row>
    <row r="30" spans="1:4" s="438" customFormat="1" ht="11.5" x14ac:dyDescent="0.25">
      <c r="A30" s="256"/>
      <c r="B30" s="434"/>
      <c r="C30" s="440"/>
      <c r="D30" s="440"/>
    </row>
    <row r="31" spans="1:4" s="438" customFormat="1" ht="11.5" x14ac:dyDescent="0.25">
      <c r="A31" s="441" t="s">
        <v>1821</v>
      </c>
      <c r="B31" s="442"/>
      <c r="C31" s="371"/>
      <c r="D31" s="371"/>
    </row>
    <row r="32" spans="1:4" s="438" customFormat="1" ht="11.5" x14ac:dyDescent="0.25">
      <c r="A32" s="450" t="s">
        <v>1822</v>
      </c>
      <c r="B32" s="451" t="s">
        <v>766</v>
      </c>
      <c r="C32" s="453">
        <f>_EE01</f>
        <v>0</v>
      </c>
      <c r="D32" s="439"/>
    </row>
    <row r="33" spans="1:4" s="438" customFormat="1" ht="11.5" x14ac:dyDescent="0.25">
      <c r="A33" s="13" t="s">
        <v>1823</v>
      </c>
      <c r="B33" s="434" t="s">
        <v>766</v>
      </c>
      <c r="C33" s="439"/>
      <c r="D33" s="439"/>
    </row>
    <row r="34" spans="1:4" s="438" customFormat="1" ht="11.5" x14ac:dyDescent="0.25">
      <c r="A34" s="450" t="s">
        <v>1824</v>
      </c>
      <c r="B34" s="451" t="s">
        <v>196</v>
      </c>
      <c r="C34" s="452" t="e">
        <v>#REF!</v>
      </c>
    </row>
    <row r="35" spans="1:4" s="438" customFormat="1" ht="11.5" x14ac:dyDescent="0.25">
      <c r="A35" s="450" t="s">
        <v>1825</v>
      </c>
      <c r="B35" s="451" t="s">
        <v>544</v>
      </c>
      <c r="C35" s="452">
        <f>_EN11</f>
        <v>0</v>
      </c>
    </row>
    <row r="36" spans="1:4" s="438" customFormat="1" ht="11.5" x14ac:dyDescent="0.25">
      <c r="A36" s="450" t="s">
        <v>1870</v>
      </c>
      <c r="B36" s="451" t="s">
        <v>544</v>
      </c>
      <c r="C36" s="452">
        <f>_EN10-_EN11</f>
        <v>0</v>
      </c>
    </row>
    <row r="37" spans="1:4" s="438" customFormat="1" ht="11.5" x14ac:dyDescent="0.25">
      <c r="A37" s="13" t="s">
        <v>1826</v>
      </c>
      <c r="B37" s="434" t="s">
        <v>196</v>
      </c>
    </row>
    <row r="38" spans="1:4" s="438" customFormat="1" ht="11.5" x14ac:dyDescent="0.25">
      <c r="A38" s="450" t="s">
        <v>1869</v>
      </c>
      <c r="B38" s="451" t="s">
        <v>196</v>
      </c>
      <c r="C38" s="452" t="e">
        <v>#REF!</v>
      </c>
    </row>
    <row r="39" spans="1:4" s="438" customFormat="1" ht="11.5" x14ac:dyDescent="0.25">
      <c r="A39" s="13"/>
      <c r="B39" s="434"/>
    </row>
    <row r="40" spans="1:4" s="438" customFormat="1" ht="11.5" x14ac:dyDescent="0.25">
      <c r="A40" s="13" t="s">
        <v>1827</v>
      </c>
      <c r="B40" s="434" t="s">
        <v>766</v>
      </c>
      <c r="C40" s="439"/>
      <c r="D40" s="439"/>
    </row>
    <row r="41" spans="1:4" s="438" customFormat="1" ht="11.5" x14ac:dyDescent="0.25">
      <c r="A41" s="450" t="s">
        <v>55</v>
      </c>
      <c r="B41" s="451" t="s">
        <v>196</v>
      </c>
      <c r="C41" s="452" t="e">
        <v>#REF!</v>
      </c>
    </row>
    <row r="42" spans="1:4" s="438" customFormat="1" ht="11.5" x14ac:dyDescent="0.25">
      <c r="A42" s="450" t="s">
        <v>1828</v>
      </c>
      <c r="B42" s="451" t="s">
        <v>196</v>
      </c>
      <c r="C42" s="452">
        <f>_AV12</f>
        <v>0</v>
      </c>
    </row>
    <row r="43" spans="1:4" s="438" customFormat="1" ht="11.5" x14ac:dyDescent="0.25">
      <c r="A43" s="13"/>
      <c r="B43" s="434"/>
      <c r="C43" s="440"/>
      <c r="D43" s="440"/>
    </row>
    <row r="44" spans="1:4" s="438" customFormat="1" ht="11.5" x14ac:dyDescent="0.25">
      <c r="A44" s="256" t="s">
        <v>1829</v>
      </c>
      <c r="B44" s="434"/>
      <c r="C44" s="434"/>
      <c r="D44" s="434"/>
    </row>
    <row r="45" spans="1:4" s="438" customFormat="1" ht="11.5" x14ac:dyDescent="0.25">
      <c r="A45" s="450" t="s">
        <v>1830</v>
      </c>
      <c r="B45" s="451" t="s">
        <v>196</v>
      </c>
      <c r="C45" s="452" t="e">
        <v>#REF!</v>
      </c>
    </row>
    <row r="46" spans="1:4" s="438" customFormat="1" ht="11.5" x14ac:dyDescent="0.25">
      <c r="A46" s="450" t="s">
        <v>1831</v>
      </c>
      <c r="B46" s="451" t="s">
        <v>196</v>
      </c>
      <c r="C46" s="452" t="e">
        <v>#REF!</v>
      </c>
    </row>
    <row r="47" spans="1:4" s="438" customFormat="1" ht="11.5" x14ac:dyDescent="0.25">
      <c r="A47" s="450" t="s">
        <v>1832</v>
      </c>
      <c r="B47" s="451" t="s">
        <v>196</v>
      </c>
      <c r="C47" s="452" t="e">
        <v>#REF!</v>
      </c>
    </row>
    <row r="48" spans="1:4" s="438" customFormat="1" ht="11.5" x14ac:dyDescent="0.25">
      <c r="A48" s="450" t="s">
        <v>599</v>
      </c>
      <c r="B48" s="451" t="s">
        <v>196</v>
      </c>
      <c r="C48" s="452" t="e">
        <v>#REF!</v>
      </c>
    </row>
    <row r="49" spans="1:4" s="438" customFormat="1" ht="11.5" x14ac:dyDescent="0.25">
      <c r="A49" s="450" t="s">
        <v>1833</v>
      </c>
      <c r="B49" s="451" t="s">
        <v>196</v>
      </c>
      <c r="C49" s="452" t="e">
        <v>#REF!</v>
      </c>
    </row>
    <row r="50" spans="1:4" s="438" customFormat="1" ht="11.5" x14ac:dyDescent="0.25">
      <c r="A50" s="256" t="s">
        <v>1834</v>
      </c>
      <c r="B50" s="434"/>
    </row>
    <row r="51" spans="1:4" s="438" customFormat="1" ht="11.5" x14ac:dyDescent="0.25">
      <c r="A51" s="450" t="s">
        <v>1835</v>
      </c>
      <c r="B51" s="451" t="s">
        <v>196</v>
      </c>
      <c r="C51" s="452" t="e">
        <v>#REF!</v>
      </c>
    </row>
    <row r="52" spans="1:4" s="438" customFormat="1" ht="11.5" x14ac:dyDescent="0.25">
      <c r="A52" s="450" t="s">
        <v>1836</v>
      </c>
      <c r="B52" s="451" t="s">
        <v>196</v>
      </c>
      <c r="C52" s="452">
        <f>_AA10-_AS03</f>
        <v>0</v>
      </c>
    </row>
    <row r="53" spans="1:4" s="438" customFormat="1" ht="11.5" x14ac:dyDescent="0.25">
      <c r="A53" s="450" t="s">
        <v>1837</v>
      </c>
      <c r="B53" s="451" t="s">
        <v>196</v>
      </c>
      <c r="C53" s="452" t="e">
        <v>#REF!</v>
      </c>
    </row>
    <row r="54" spans="1:4" s="438" customFormat="1" ht="11.5" x14ac:dyDescent="0.25">
      <c r="A54" s="450" t="s">
        <v>1838</v>
      </c>
      <c r="B54" s="451" t="s">
        <v>196</v>
      </c>
      <c r="C54" s="452" t="e">
        <v>#REF!</v>
      </c>
    </row>
    <row r="55" spans="1:4" s="438" customFormat="1" ht="11.5" x14ac:dyDescent="0.25">
      <c r="A55" s="13"/>
      <c r="B55" s="434"/>
    </row>
    <row r="56" spans="1:4" s="438" customFormat="1" ht="11.5" x14ac:dyDescent="0.25">
      <c r="A56" s="13"/>
      <c r="B56" s="434"/>
    </row>
    <row r="57" spans="1:4" s="438" customFormat="1" ht="11.5" x14ac:dyDescent="0.25">
      <c r="A57" s="13"/>
      <c r="B57" s="434"/>
    </row>
    <row r="58" spans="1:4" s="438" customFormat="1" ht="11.5" x14ac:dyDescent="0.25">
      <c r="A58" s="13"/>
      <c r="B58" s="434"/>
    </row>
    <row r="59" spans="1:4" s="438" customFormat="1" ht="11.5" x14ac:dyDescent="0.25">
      <c r="A59" s="256" t="s">
        <v>1839</v>
      </c>
      <c r="B59" s="434"/>
      <c r="C59" s="443" t="str">
        <f>C1</f>
        <v>Berichtsjahr</v>
      </c>
      <c r="D59" s="442"/>
    </row>
    <row r="60" spans="1:4" s="438" customFormat="1" ht="11.5" x14ac:dyDescent="0.25">
      <c r="A60" s="256" t="s">
        <v>820</v>
      </c>
      <c r="B60" s="434"/>
      <c r="C60" s="361"/>
      <c r="D60" s="371"/>
    </row>
    <row r="61" spans="1:4" s="438" customFormat="1" ht="11.5" x14ac:dyDescent="0.25">
      <c r="A61" s="13" t="s">
        <v>1804</v>
      </c>
      <c r="B61" s="434" t="s">
        <v>766</v>
      </c>
      <c r="C61" s="444">
        <f>C10</f>
        <v>0</v>
      </c>
      <c r="D61" s="444"/>
    </row>
    <row r="62" spans="1:4" s="438" customFormat="1" ht="11.5" x14ac:dyDescent="0.25">
      <c r="A62" s="13" t="s">
        <v>1805</v>
      </c>
      <c r="B62" s="434" t="s">
        <v>766</v>
      </c>
      <c r="C62" s="444">
        <f>C11</f>
        <v>0</v>
      </c>
      <c r="D62" s="444"/>
    </row>
    <row r="63" spans="1:4" s="438" customFormat="1" ht="11.5" x14ac:dyDescent="0.25">
      <c r="A63" s="13" t="s">
        <v>1806</v>
      </c>
      <c r="B63" s="434" t="s">
        <v>766</v>
      </c>
      <c r="C63" s="444">
        <f>C12</f>
        <v>0</v>
      </c>
      <c r="D63" s="444"/>
    </row>
    <row r="64" spans="1:4" s="438" customFormat="1" ht="11.5" x14ac:dyDescent="0.25">
      <c r="A64" s="13" t="s">
        <v>1840</v>
      </c>
      <c r="B64" s="434" t="s">
        <v>196</v>
      </c>
      <c r="C64" s="445" t="e">
        <f>(C19+C21)/(C14)</f>
        <v>#DIV/0!</v>
      </c>
      <c r="D64" s="445"/>
    </row>
    <row r="65" spans="1:4" s="438" customFormat="1" ht="11.5" x14ac:dyDescent="0.25">
      <c r="A65" s="13" t="s">
        <v>1841</v>
      </c>
      <c r="B65" s="434" t="s">
        <v>196</v>
      </c>
      <c r="C65" s="445" t="e">
        <f>C20/C14</f>
        <v>#DIV/0!</v>
      </c>
      <c r="D65" s="445"/>
    </row>
    <row r="66" spans="1:4" s="438" customFormat="1" ht="11.5" x14ac:dyDescent="0.25">
      <c r="A66" s="13" t="s">
        <v>1842</v>
      </c>
      <c r="B66" s="434" t="s">
        <v>196</v>
      </c>
      <c r="C66" s="445" t="e">
        <f>C64-C65</f>
        <v>#DIV/0!</v>
      </c>
      <c r="D66" s="445"/>
    </row>
    <row r="67" spans="1:4" s="438" customFormat="1" ht="11.5" x14ac:dyDescent="0.25">
      <c r="A67" s="13" t="s">
        <v>1843</v>
      </c>
      <c r="B67" s="434" t="s">
        <v>196</v>
      </c>
      <c r="C67" s="445" t="e">
        <f>(C16+C18)/C15</f>
        <v>#DIV/0!</v>
      </c>
      <c r="D67" s="445"/>
    </row>
    <row r="68" spans="1:4" s="438" customFormat="1" ht="11.5" x14ac:dyDescent="0.25">
      <c r="A68" s="13" t="s">
        <v>1841</v>
      </c>
      <c r="B68" s="434" t="s">
        <v>196</v>
      </c>
      <c r="C68" s="445" t="e">
        <f>C17/C15</f>
        <v>#DIV/0!</v>
      </c>
      <c r="D68" s="445"/>
    </row>
    <row r="69" spans="1:4" s="438" customFormat="1" ht="11.5" x14ac:dyDescent="0.25">
      <c r="A69" s="13" t="s">
        <v>1842</v>
      </c>
      <c r="B69" s="434" t="s">
        <v>196</v>
      </c>
      <c r="C69" s="445" t="e">
        <f>C67-C68</f>
        <v>#DIV/0!</v>
      </c>
      <c r="D69" s="445"/>
    </row>
    <row r="70" spans="1:4" s="438" customFormat="1" ht="11.5" x14ac:dyDescent="0.25">
      <c r="A70" s="13" t="s">
        <v>1844</v>
      </c>
      <c r="B70" s="434"/>
      <c r="C70" s="446" t="e">
        <f>(C13-C16-C18-C19-C21)/(C16+C18+C19+C21)</f>
        <v>#REF!</v>
      </c>
      <c r="D70" s="446"/>
    </row>
    <row r="71" spans="1:4" s="438" customFormat="1" ht="11.5" x14ac:dyDescent="0.25">
      <c r="A71" s="13" t="s">
        <v>1845</v>
      </c>
      <c r="B71" s="434"/>
      <c r="C71" s="446" t="e">
        <f>C22/C10</f>
        <v>#DIV/0!</v>
      </c>
      <c r="D71" s="446"/>
    </row>
    <row r="72" spans="1:4" s="438" customFormat="1" ht="11.5" x14ac:dyDescent="0.25">
      <c r="A72" s="13" t="s">
        <v>1846</v>
      </c>
      <c r="B72" s="434" t="s">
        <v>196</v>
      </c>
      <c r="C72" s="445" t="e">
        <f>C5/C7</f>
        <v>#DIV/0!</v>
      </c>
      <c r="D72" s="446"/>
    </row>
    <row r="73" spans="1:4" s="438" customFormat="1" ht="11.5" x14ac:dyDescent="0.25">
      <c r="A73" s="13" t="s">
        <v>1841</v>
      </c>
      <c r="B73" s="434" t="s">
        <v>196</v>
      </c>
      <c r="C73" s="445" t="e">
        <f>C6/C7</f>
        <v>#DIV/0!</v>
      </c>
      <c r="D73" s="446"/>
    </row>
    <row r="74" spans="1:4" s="438" customFormat="1" ht="11.5" x14ac:dyDescent="0.25">
      <c r="A74" s="13" t="s">
        <v>1847</v>
      </c>
      <c r="B74" s="434" t="s">
        <v>196</v>
      </c>
      <c r="C74" s="445" t="e">
        <f>C72-C73</f>
        <v>#DIV/0!</v>
      </c>
      <c r="D74" s="446"/>
    </row>
    <row r="75" spans="1:4" s="438" customFormat="1" ht="11.5" x14ac:dyDescent="0.25">
      <c r="A75" s="256" t="s">
        <v>1848</v>
      </c>
      <c r="B75" s="434"/>
      <c r="C75" s="361"/>
      <c r="D75" s="445"/>
    </row>
    <row r="76" spans="1:4" s="438" customFormat="1" ht="11.5" x14ac:dyDescent="0.25">
      <c r="A76" s="13" t="s">
        <v>1849</v>
      </c>
      <c r="B76" s="434"/>
      <c r="C76" s="446" t="e">
        <f>C40/C32</f>
        <v>#DIV/0!</v>
      </c>
      <c r="D76" s="446"/>
    </row>
    <row r="77" spans="1:4" s="438" customFormat="1" ht="11.5" x14ac:dyDescent="0.25">
      <c r="A77" s="450" t="s">
        <v>1850</v>
      </c>
      <c r="B77" s="451" t="s">
        <v>196</v>
      </c>
      <c r="C77" s="454" t="e">
        <f>C41/(C35+C36)</f>
        <v>#REF!</v>
      </c>
      <c r="D77" s="445"/>
    </row>
    <row r="78" spans="1:4" s="438" customFormat="1" ht="11.5" x14ac:dyDescent="0.25">
      <c r="A78" s="450" t="s">
        <v>1851</v>
      </c>
      <c r="B78" s="451" t="s">
        <v>196</v>
      </c>
      <c r="C78" s="454" t="e">
        <f>C42/(C35+C36)</f>
        <v>#DIV/0!</v>
      </c>
      <c r="D78" s="445"/>
    </row>
    <row r="79" spans="1:4" s="438" customFormat="1" ht="11.5" x14ac:dyDescent="0.25">
      <c r="A79" s="450" t="s">
        <v>1852</v>
      </c>
      <c r="B79" s="451" t="s">
        <v>196</v>
      </c>
      <c r="C79" s="454" t="e">
        <f>C78+C77</f>
        <v>#DIV/0!</v>
      </c>
      <c r="D79" s="445"/>
    </row>
    <row r="80" spans="1:4" s="438" customFormat="1" ht="11.5" x14ac:dyDescent="0.25">
      <c r="A80" s="450" t="s">
        <v>1853</v>
      </c>
      <c r="B80" s="451"/>
      <c r="C80" s="455" t="e">
        <f>(C41+C42)/C34</f>
        <v>#REF!</v>
      </c>
      <c r="D80" s="446"/>
    </row>
    <row r="81" spans="1:4" s="438" customFormat="1" ht="11.5" x14ac:dyDescent="0.25">
      <c r="A81" s="13" t="s">
        <v>1854</v>
      </c>
      <c r="B81" s="434"/>
      <c r="C81" s="446" t="e">
        <f>C33/C32</f>
        <v>#DIV/0!</v>
      </c>
      <c r="D81" s="446"/>
    </row>
    <row r="82" spans="1:4" s="438" customFormat="1" ht="11.5" x14ac:dyDescent="0.25">
      <c r="A82" s="256" t="s">
        <v>1855</v>
      </c>
      <c r="B82" s="434"/>
      <c r="C82" s="445"/>
      <c r="D82" s="445"/>
    </row>
    <row r="83" spans="1:4" s="438" customFormat="1" ht="11.5" x14ac:dyDescent="0.25">
      <c r="A83" s="13" t="s">
        <v>1856</v>
      </c>
      <c r="B83" s="434"/>
      <c r="C83" s="444">
        <f>C25</f>
        <v>0</v>
      </c>
      <c r="D83" s="444"/>
    </row>
    <row r="84" spans="1:4" s="438" customFormat="1" ht="11.5" x14ac:dyDescent="0.25">
      <c r="A84" s="13" t="s">
        <v>1817</v>
      </c>
      <c r="B84" s="434"/>
      <c r="C84" s="444">
        <f>C26</f>
        <v>0</v>
      </c>
      <c r="D84" s="444"/>
    </row>
    <row r="85" spans="1:4" s="438" customFormat="1" ht="11.5" x14ac:dyDescent="0.25">
      <c r="A85" s="13" t="s">
        <v>1857</v>
      </c>
      <c r="B85" s="434"/>
      <c r="C85" s="445" t="e">
        <f>C27</f>
        <v>#REF!</v>
      </c>
      <c r="D85" s="445"/>
    </row>
    <row r="86" spans="1:4" s="438" customFormat="1" ht="11.5" x14ac:dyDescent="0.25">
      <c r="A86" s="13" t="s">
        <v>1858</v>
      </c>
      <c r="B86" s="434"/>
      <c r="C86" s="445" t="e">
        <f>C85/C83</f>
        <v>#REF!</v>
      </c>
      <c r="D86" s="445"/>
    </row>
    <row r="87" spans="1:4" s="438" customFormat="1" ht="11.5" x14ac:dyDescent="0.25">
      <c r="A87" s="13" t="s">
        <v>1859</v>
      </c>
      <c r="B87" s="434"/>
    </row>
    <row r="88" spans="1:4" s="438" customFormat="1" ht="11.5" x14ac:dyDescent="0.25">
      <c r="A88" s="452" t="s">
        <v>1860</v>
      </c>
      <c r="B88" s="456"/>
      <c r="C88" s="454" t="e">
        <f>C45+C46+C47+C48+C49+C38+C41+C52+C53+C54+C51</f>
        <v>#REF!</v>
      </c>
      <c r="D88" s="445"/>
    </row>
    <row r="89" spans="1:4" s="438" customFormat="1" ht="11.5" x14ac:dyDescent="0.25">
      <c r="A89" s="13" t="s">
        <v>1861</v>
      </c>
      <c r="B89" s="434"/>
      <c r="C89" s="438" t="e">
        <f>C34-C37+C27+C28+C29</f>
        <v>#REF!</v>
      </c>
    </row>
    <row r="90" spans="1:4" s="438" customFormat="1" ht="11.5" x14ac:dyDescent="0.25">
      <c r="A90" s="13" t="s">
        <v>1862</v>
      </c>
      <c r="B90" s="434"/>
      <c r="C90" s="447" t="e">
        <f>C89/C88</f>
        <v>#REF!</v>
      </c>
      <c r="D90" s="447"/>
    </row>
    <row r="91" spans="1:4" s="438" customFormat="1" ht="11.5" x14ac:dyDescent="0.25">
      <c r="A91" s="13"/>
      <c r="B91" s="434"/>
    </row>
    <row r="92" spans="1:4" s="438" customFormat="1" ht="11.5" x14ac:dyDescent="0.25">
      <c r="A92" s="13"/>
      <c r="B92" s="434"/>
    </row>
    <row r="93" spans="1:4" s="438" customFormat="1" ht="11.5" x14ac:dyDescent="0.25">
      <c r="A93" s="13"/>
      <c r="B93" s="434"/>
    </row>
    <row r="94" spans="1:4" s="438" customFormat="1" ht="11.5" x14ac:dyDescent="0.25">
      <c r="A94" s="13"/>
      <c r="B94" s="434"/>
    </row>
    <row r="95" spans="1:4" s="438" customFormat="1" ht="11.5" x14ac:dyDescent="0.25">
      <c r="A95" s="13"/>
      <c r="B95" s="434"/>
    </row>
    <row r="96" spans="1:4" s="438" customFormat="1" ht="11.5" x14ac:dyDescent="0.25">
      <c r="A96" s="13"/>
      <c r="B96" s="434"/>
    </row>
    <row r="97" spans="1:2" s="438" customFormat="1" ht="11.5" x14ac:dyDescent="0.25">
      <c r="A97" s="13"/>
      <c r="B97" s="434"/>
    </row>
    <row r="98" spans="1:2" s="438" customFormat="1" ht="11.5" x14ac:dyDescent="0.25">
      <c r="A98" s="13"/>
      <c r="B98" s="434"/>
    </row>
    <row r="99" spans="1:2" s="438" customFormat="1" ht="11.5" x14ac:dyDescent="0.25">
      <c r="A99" s="13"/>
      <c r="B99" s="434"/>
    </row>
    <row r="100" spans="1:2" s="438" customFormat="1" ht="11.5" x14ac:dyDescent="0.25">
      <c r="A100" s="13"/>
      <c r="B100" s="434"/>
    </row>
    <row r="101" spans="1:2" s="438" customFormat="1" ht="11.5" x14ac:dyDescent="0.25">
      <c r="A101" s="13"/>
      <c r="B101" s="434"/>
    </row>
    <row r="102" spans="1:2" s="438" customFormat="1" ht="11.5" x14ac:dyDescent="0.25">
      <c r="A102" s="13"/>
      <c r="B102" s="434"/>
    </row>
    <row r="103" spans="1:2" s="438" customFormat="1" ht="11.5" x14ac:dyDescent="0.25">
      <c r="A103" s="13"/>
      <c r="B103" s="434"/>
    </row>
    <row r="104" spans="1:2" s="438" customFormat="1" ht="11.5" x14ac:dyDescent="0.25">
      <c r="A104" s="13"/>
      <c r="B104" s="434"/>
    </row>
    <row r="105" spans="1:2" s="438" customFormat="1" ht="11.5" x14ac:dyDescent="0.25">
      <c r="A105" s="13"/>
      <c r="B105" s="434"/>
    </row>
    <row r="106" spans="1:2" s="438" customFormat="1" ht="11.5" x14ac:dyDescent="0.25">
      <c r="A106" s="13"/>
      <c r="B106" s="434"/>
    </row>
    <row r="107" spans="1:2" s="438" customFormat="1" ht="11.5" x14ac:dyDescent="0.25">
      <c r="A107" s="13"/>
      <c r="B107" s="434"/>
    </row>
    <row r="108" spans="1:2" s="438" customFormat="1" ht="11.5" x14ac:dyDescent="0.25">
      <c r="A108" s="13"/>
      <c r="B108" s="434"/>
    </row>
    <row r="109" spans="1:2" s="438" customFormat="1" ht="11.5" x14ac:dyDescent="0.25">
      <c r="A109" s="13"/>
      <c r="B109" s="434"/>
    </row>
    <row r="110" spans="1:2" s="438" customFormat="1" ht="11.5" x14ac:dyDescent="0.25">
      <c r="A110" s="13"/>
      <c r="B110" s="434"/>
    </row>
    <row r="111" spans="1:2" s="438" customFormat="1" ht="11.5" x14ac:dyDescent="0.25">
      <c r="A111" s="13"/>
      <c r="B111" s="434"/>
    </row>
  </sheetData>
  <printOptions gridLines="1"/>
  <pageMargins left="0.19685039370078741" right="0.19685039370078741" top="0.98425196850393704" bottom="0.98425196850393704" header="0.51181102362204722" footer="0.51181102362204722"/>
  <pageSetup paperSize="9"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3"/>
  <dimension ref="A1:M184"/>
  <sheetViews>
    <sheetView showGridLines="0" zoomScale="75" zoomScaleNormal="75" zoomScaleSheetLayoutView="75" workbookViewId="0">
      <pane ySplit="7" topLeftCell="A105" activePane="bottomLeft" state="frozen"/>
      <selection pane="bottomLeft" activeCell="G100" sqref="G100"/>
    </sheetView>
  </sheetViews>
  <sheetFormatPr baseColWidth="10" defaultRowHeight="12.5" x14ac:dyDescent="0.25"/>
  <cols>
    <col min="2" max="2" width="13.81640625" customWidth="1"/>
    <col min="3" max="3" width="55" customWidth="1"/>
    <col min="4" max="4" width="11.1796875" customWidth="1"/>
    <col min="5" max="5" width="14" customWidth="1"/>
    <col min="6" max="6" width="10" style="195" customWidth="1"/>
    <col min="7" max="7" width="6.26953125" customWidth="1"/>
    <col min="8" max="8" width="2" customWidth="1"/>
    <col min="9" max="9" width="7.81640625" customWidth="1"/>
    <col min="10" max="10" width="12.26953125" customWidth="1"/>
    <col min="11" max="11" width="8.81640625" bestFit="1" customWidth="1"/>
    <col min="12" max="12" width="29" customWidth="1"/>
  </cols>
  <sheetData>
    <row r="1" spans="1:12" ht="13" x14ac:dyDescent="0.3">
      <c r="A1" s="350" t="s">
        <v>1781</v>
      </c>
    </row>
    <row r="2" spans="1:12" ht="15.5" x14ac:dyDescent="0.35">
      <c r="B2" s="479" t="s">
        <v>532</v>
      </c>
      <c r="C2" s="480"/>
      <c r="D2" s="480"/>
      <c r="E2" s="481"/>
      <c r="G2" s="248"/>
      <c r="H2" s="248"/>
      <c r="I2" s="248"/>
      <c r="J2" s="29" t="s">
        <v>322</v>
      </c>
    </row>
    <row r="3" spans="1:12" x14ac:dyDescent="0.25">
      <c r="B3" s="81"/>
      <c r="E3" s="169"/>
      <c r="G3" s="248"/>
      <c r="H3" s="248"/>
      <c r="I3" s="248"/>
      <c r="J3" s="29" t="s">
        <v>323</v>
      </c>
    </row>
    <row r="4" spans="1:12" ht="15.5" x14ac:dyDescent="0.35">
      <c r="B4" s="175" t="s">
        <v>533</v>
      </c>
      <c r="C4" s="174" t="str">
        <f>CONCATENATE(TEXT(_UKZ,"#######"),"   ",_NAME)</f>
        <v xml:space="preserve">   </v>
      </c>
      <c r="D4" s="170"/>
      <c r="E4" s="169"/>
      <c r="G4" s="248"/>
      <c r="H4" s="248"/>
      <c r="I4" s="249"/>
      <c r="J4" s="64" t="s">
        <v>324</v>
      </c>
      <c r="K4" s="4"/>
    </row>
    <row r="5" spans="1:12" ht="14" x14ac:dyDescent="0.3">
      <c r="B5" s="175" t="s">
        <v>363</v>
      </c>
      <c r="C5" s="174">
        <f>_JAHR</f>
        <v>2022</v>
      </c>
      <c r="D5" s="170"/>
      <c r="E5" s="169"/>
      <c r="G5" s="248"/>
      <c r="H5" s="248" t="s">
        <v>325</v>
      </c>
      <c r="I5" s="248"/>
      <c r="J5" s="64" t="s">
        <v>326</v>
      </c>
      <c r="K5" s="4"/>
      <c r="L5" t="s">
        <v>327</v>
      </c>
    </row>
    <row r="6" spans="1:12" ht="13" x14ac:dyDescent="0.3">
      <c r="B6" s="81"/>
      <c r="E6" s="169"/>
      <c r="G6" s="248" t="s">
        <v>326</v>
      </c>
      <c r="H6" s="248"/>
      <c r="I6" s="248" t="s">
        <v>328</v>
      </c>
      <c r="J6" s="64" t="s">
        <v>328</v>
      </c>
      <c r="L6" t="s">
        <v>329</v>
      </c>
    </row>
    <row r="7" spans="1:12" ht="13" x14ac:dyDescent="0.3">
      <c r="B7" s="171" t="s">
        <v>465</v>
      </c>
      <c r="C7" s="172" t="s">
        <v>535</v>
      </c>
      <c r="D7" s="172" t="s">
        <v>536</v>
      </c>
      <c r="E7" s="173" t="s">
        <v>466</v>
      </c>
      <c r="F7" s="278" t="s">
        <v>1041</v>
      </c>
      <c r="G7" s="248"/>
      <c r="H7" s="248" t="s">
        <v>330</v>
      </c>
      <c r="I7" s="248"/>
      <c r="J7" s="64" t="s">
        <v>331</v>
      </c>
      <c r="L7" s="248" t="s">
        <v>332</v>
      </c>
    </row>
    <row r="8" spans="1:12" x14ac:dyDescent="0.25">
      <c r="B8" s="5"/>
      <c r="C8" s="5"/>
      <c r="D8" s="5"/>
      <c r="E8" s="3"/>
      <c r="F8" s="279"/>
      <c r="G8" s="3"/>
    </row>
    <row r="9" spans="1:12" ht="15.5" x14ac:dyDescent="0.35">
      <c r="B9" s="16" t="s">
        <v>814</v>
      </c>
      <c r="C9" s="5"/>
      <c r="D9" s="5"/>
      <c r="E9" s="3"/>
      <c r="F9" s="279"/>
      <c r="G9" s="3"/>
    </row>
    <row r="10" spans="1:12" x14ac:dyDescent="0.25">
      <c r="B10" s="5"/>
      <c r="C10" s="5"/>
      <c r="D10" s="5"/>
      <c r="E10" s="3"/>
      <c r="F10" s="279"/>
    </row>
    <row r="11" spans="1:12" ht="15.5" x14ac:dyDescent="0.35">
      <c r="B11" s="2" t="s">
        <v>545</v>
      </c>
      <c r="F11" s="279"/>
    </row>
    <row r="12" spans="1:12" x14ac:dyDescent="0.25">
      <c r="B12" s="5"/>
      <c r="C12" s="5"/>
      <c r="D12" s="5"/>
      <c r="E12" s="3"/>
      <c r="F12" s="279"/>
    </row>
    <row r="13" spans="1:12" ht="13" x14ac:dyDescent="0.3">
      <c r="B13" s="1" t="s">
        <v>534</v>
      </c>
      <c r="F13" s="279"/>
    </row>
    <row r="14" spans="1:12" s="23" customFormat="1" ht="13" x14ac:dyDescent="0.2">
      <c r="B14" s="177" t="s">
        <v>895</v>
      </c>
      <c r="C14" s="178" t="s">
        <v>537</v>
      </c>
      <c r="D14" s="179" t="str">
        <f>IF(_WAEH=2,"TDM","Tsd. Euro")</f>
        <v>Tsd. Euro</v>
      </c>
      <c r="E14" s="180">
        <f>IF(ISBLANK(_GK10),0,_GK10/1000)</f>
        <v>0</v>
      </c>
      <c r="F14" s="279" t="s">
        <v>1042</v>
      </c>
      <c r="L14" s="344"/>
    </row>
    <row r="15" spans="1:12" s="23" customFormat="1" ht="13" hidden="1" x14ac:dyDescent="0.2">
      <c r="B15" s="329" t="s">
        <v>881</v>
      </c>
      <c r="C15" s="330" t="s">
        <v>882</v>
      </c>
      <c r="D15" s="331" t="s">
        <v>965</v>
      </c>
      <c r="E15" s="332">
        <f>IF(ISBLANK(_GK10),0,(_K01-_AV15-_AV16+10*(_UE01+_UE03-_ES11-_ES12)))</f>
        <v>0</v>
      </c>
      <c r="F15" s="279"/>
      <c r="L15" s="344"/>
    </row>
    <row r="16" spans="1:12" s="23" customFormat="1" ht="27" customHeight="1" x14ac:dyDescent="0.25">
      <c r="B16" s="177" t="s">
        <v>896</v>
      </c>
      <c r="C16" s="183" t="s">
        <v>505</v>
      </c>
      <c r="D16" s="179" t="str">
        <f>IF(_WAEH=2,"TDM","Tsd. Euro")</f>
        <v>Tsd. Euro</v>
      </c>
      <c r="E16" s="180">
        <f>IF(ISBLANK(_EK10),0,(_EK10+_INV02+((_SP10-_INV02)*3/4))/1000)</f>
        <v>0</v>
      </c>
      <c r="F16" s="280" t="s">
        <v>1043</v>
      </c>
      <c r="L16" s="344"/>
    </row>
    <row r="17" spans="2:12" s="23" customFormat="1" ht="27" customHeight="1" x14ac:dyDescent="0.25">
      <c r="B17" s="335" t="s">
        <v>867</v>
      </c>
      <c r="C17" s="336" t="s">
        <v>1314</v>
      </c>
      <c r="D17" s="337" t="s">
        <v>965</v>
      </c>
      <c r="E17" s="338">
        <f>IF(ISBLANK(_EK10),0,(_K02*1000-_AV15-_AV16+10*(_UE01+_UE03-_ES11-_ES12))/1000)</f>
        <v>0</v>
      </c>
      <c r="F17" s="339" t="s">
        <v>1294</v>
      </c>
      <c r="L17" s="344"/>
    </row>
    <row r="18" spans="2:12" s="23" customFormat="1" ht="13" x14ac:dyDescent="0.25">
      <c r="B18" s="177" t="s">
        <v>897</v>
      </c>
      <c r="C18" s="178" t="s">
        <v>809</v>
      </c>
      <c r="D18" s="179" t="str">
        <f t="shared" ref="D18:D45" si="0">IF(_WAEH=2,"TDM","Tsd. Euro")</f>
        <v>Tsd. Euro</v>
      </c>
      <c r="E18" s="180">
        <f>IF(_FK10="",0,(_FK10+_FK50+_SL10+_LV10+(_SP10/4))/1000)</f>
        <v>0</v>
      </c>
      <c r="F18" s="280" t="s">
        <v>1042</v>
      </c>
      <c r="L18" s="344"/>
    </row>
    <row r="19" spans="2:12" s="23" customFormat="1" ht="13" x14ac:dyDescent="0.25">
      <c r="B19" s="177" t="s">
        <v>898</v>
      </c>
      <c r="C19" s="178" t="s">
        <v>539</v>
      </c>
      <c r="D19" s="179" t="str">
        <f t="shared" si="0"/>
        <v>Tsd. Euro</v>
      </c>
      <c r="E19" s="180">
        <f>IF(ISBLANK(_AV08),0,_AV08/1000)</f>
        <v>0</v>
      </c>
      <c r="F19" s="280" t="s">
        <v>1044</v>
      </c>
      <c r="G19" s="176"/>
      <c r="L19" s="344"/>
    </row>
    <row r="20" spans="2:12" s="23" customFormat="1" ht="13" x14ac:dyDescent="0.25">
      <c r="B20" s="177" t="s">
        <v>899</v>
      </c>
      <c r="C20" s="178" t="s">
        <v>810</v>
      </c>
      <c r="D20" s="179" t="str">
        <f t="shared" si="0"/>
        <v>Tsd. Euro</v>
      </c>
      <c r="E20" s="180">
        <f>IF(ISBLANK(_AV11),0,_AV11/1000)</f>
        <v>0</v>
      </c>
      <c r="F20" s="280" t="s">
        <v>1044</v>
      </c>
      <c r="G20" s="176"/>
      <c r="L20" s="344"/>
    </row>
    <row r="21" spans="2:12" s="23" customFormat="1" ht="25" x14ac:dyDescent="0.25">
      <c r="B21" s="177" t="s">
        <v>900</v>
      </c>
      <c r="C21" s="181" t="s">
        <v>613</v>
      </c>
      <c r="D21" s="179" t="str">
        <f t="shared" si="0"/>
        <v>Tsd. Euro</v>
      </c>
      <c r="E21" s="182">
        <f>IF(_AV12=0,0,_AV12/1000)</f>
        <v>0</v>
      </c>
      <c r="F21" s="280" t="s">
        <v>1044</v>
      </c>
      <c r="G21" s="176"/>
      <c r="L21" s="344"/>
    </row>
    <row r="22" spans="2:12" s="23" customFormat="1" ht="13" x14ac:dyDescent="0.25">
      <c r="B22" s="177" t="s">
        <v>901</v>
      </c>
      <c r="C22" s="181" t="s">
        <v>171</v>
      </c>
      <c r="D22" s="179" t="str">
        <f t="shared" si="0"/>
        <v>Tsd. Euro</v>
      </c>
      <c r="E22" s="182">
        <f>IF(_IK01=0,0,_IK01/1000)</f>
        <v>0</v>
      </c>
      <c r="F22" s="280" t="s">
        <v>1045</v>
      </c>
      <c r="G22" s="176"/>
      <c r="L22" s="344"/>
    </row>
    <row r="23" spans="2:12" s="23" customFormat="1" ht="13" x14ac:dyDescent="0.25">
      <c r="B23" s="177" t="s">
        <v>902</v>
      </c>
      <c r="C23" s="178" t="s">
        <v>540</v>
      </c>
      <c r="D23" s="179" t="str">
        <f t="shared" si="0"/>
        <v>Tsd. Euro</v>
      </c>
      <c r="E23" s="180">
        <f>IF(ISBLANK(_GW10),0,_GW10/1000)</f>
        <v>0</v>
      </c>
      <c r="F23" s="280" t="s">
        <v>1046</v>
      </c>
      <c r="G23" s="176"/>
      <c r="L23" s="344"/>
    </row>
    <row r="24" spans="2:12" s="23" customFormat="1" ht="25.5" x14ac:dyDescent="0.25">
      <c r="B24" s="177" t="s">
        <v>903</v>
      </c>
      <c r="C24" s="183" t="s">
        <v>860</v>
      </c>
      <c r="D24" s="179" t="str">
        <f t="shared" si="0"/>
        <v>Tsd. Euro</v>
      </c>
      <c r="E24" s="182">
        <f>IF(ISBLANK(_GW10),0,((_GW10-_GW20+_XX28-_GR10-_XX50+_ST10+_AA04+_AA03-_EA01)+(_ZA10-_EZ02-_SE02-_EW01+_AA10-_AS05+_AS04+_AF10))/1000)</f>
        <v>0</v>
      </c>
      <c r="F24" s="280" t="s">
        <v>943</v>
      </c>
      <c r="G24" s="176"/>
      <c r="L24" s="344"/>
    </row>
    <row r="25" spans="2:12" s="23" customFormat="1" ht="38" x14ac:dyDescent="0.25">
      <c r="B25" s="177" t="s">
        <v>651</v>
      </c>
      <c r="C25" s="183" t="s">
        <v>7</v>
      </c>
      <c r="D25" s="179" t="str">
        <f>IF(_WAEH=2,"DM/m²","Euro/m²")</f>
        <v>Euro/m²</v>
      </c>
      <c r="E25" s="184">
        <f>IF(ISBLANK(_GW10),0,(_GW10/(_EN10+_EN12)))</f>
        <v>0</v>
      </c>
      <c r="F25" s="281" t="s">
        <v>1047</v>
      </c>
      <c r="G25" s="176"/>
      <c r="L25" s="344"/>
    </row>
    <row r="26" spans="2:12" s="23" customFormat="1" ht="25.5" x14ac:dyDescent="0.25">
      <c r="B26" s="177" t="s">
        <v>653</v>
      </c>
      <c r="C26" s="183" t="s">
        <v>1201</v>
      </c>
      <c r="D26" s="179" t="str">
        <f t="shared" si="0"/>
        <v>Tsd. Euro</v>
      </c>
      <c r="E26" s="182">
        <f>IF(ISBLANK(_GW10),0,((_GW10-_GW20+_XX28-_GR10-_XX50+_ST10+_AA04+_AA03-_EA01)+(_ZA10-_EZ02-_SE02-_EW01+_AA10-_AS05+_AS04+_AF10+(_IK01+_XX45-_SE03)))/1000)</f>
        <v>0</v>
      </c>
      <c r="F26" s="280" t="s">
        <v>943</v>
      </c>
      <c r="G26" s="176"/>
      <c r="L26" s="344"/>
    </row>
    <row r="27" spans="2:12" s="23" customFormat="1" ht="38" x14ac:dyDescent="0.25">
      <c r="B27" s="177" t="s">
        <v>654</v>
      </c>
      <c r="C27" s="183" t="s">
        <v>8</v>
      </c>
      <c r="D27" s="179" t="str">
        <f>IF(_WAEH=2,"DM/m²","Euro/m²")</f>
        <v>Euro/m²</v>
      </c>
      <c r="E27" s="185">
        <f>IF(ISBLANK(_GW10),0,((_GW10-_GW20+_XX28-_GR10-_XX50+_ST10+_AA04+_AA03-_EA01)+(_ZA10-_EZ02-_SE02-_EW01+_AA10-_AS05+_AS04+_AF10))/(_EN10+_EN12))</f>
        <v>0</v>
      </c>
      <c r="F27" s="280" t="s">
        <v>943</v>
      </c>
      <c r="G27" s="176"/>
      <c r="L27" s="344"/>
    </row>
    <row r="28" spans="2:12" s="23" customFormat="1" ht="38" x14ac:dyDescent="0.25">
      <c r="B28" s="177" t="s">
        <v>655</v>
      </c>
      <c r="C28" s="183" t="s">
        <v>9</v>
      </c>
      <c r="D28" s="179" t="str">
        <f>IF(_WAEH=2,"DM/m²","Euro/m²")</f>
        <v>Euro/m²</v>
      </c>
      <c r="E28" s="185" t="e">
        <f>IF(ISBLANK(_GW10),0,((_GW10-_GW20+_XX28-_GR10-_XX50+_ST10+_AA04+_AA03-_EA01)+(_ZA10-_EZ02-_SE02-_EW01+_AA10-_AS05+_AS04+_AF10)+(_IK01+_XX45-_SE03)))/(_EN10+_EN12)</f>
        <v>#DIV/0!</v>
      </c>
      <c r="F28" s="280" t="s">
        <v>943</v>
      </c>
      <c r="G28" s="176"/>
      <c r="L28" s="344"/>
    </row>
    <row r="29" spans="2:12" s="23" customFormat="1" ht="13" x14ac:dyDescent="0.25">
      <c r="B29" s="177" t="s">
        <v>904</v>
      </c>
      <c r="C29" s="178" t="s">
        <v>688</v>
      </c>
      <c r="D29" s="179" t="str">
        <f t="shared" si="0"/>
        <v>Tsd. Euro</v>
      </c>
      <c r="E29" s="180">
        <f>IF(ISBLANK(_UE10),0,_UE10/1000)</f>
        <v>0</v>
      </c>
      <c r="F29" s="280" t="s">
        <v>1048</v>
      </c>
      <c r="G29" s="176"/>
      <c r="L29" s="344"/>
    </row>
    <row r="30" spans="2:12" s="23" customFormat="1" ht="13" x14ac:dyDescent="0.25">
      <c r="B30" s="177" t="s">
        <v>905</v>
      </c>
      <c r="C30" s="181" t="s">
        <v>618</v>
      </c>
      <c r="D30" s="179" t="str">
        <f t="shared" si="0"/>
        <v>Tsd. Euro</v>
      </c>
      <c r="E30" s="180">
        <f>IF(ISBLANK(_UE01),0,_UE01/1000)</f>
        <v>0</v>
      </c>
      <c r="F30" s="280" t="s">
        <v>1048</v>
      </c>
      <c r="G30" s="176"/>
      <c r="L30" s="344"/>
    </row>
    <row r="31" spans="2:12" s="23" customFormat="1" ht="13" x14ac:dyDescent="0.25">
      <c r="B31" s="177" t="s">
        <v>906</v>
      </c>
      <c r="C31" s="181" t="s">
        <v>623</v>
      </c>
      <c r="D31" s="179" t="str">
        <f t="shared" si="0"/>
        <v>Tsd. Euro</v>
      </c>
      <c r="E31" s="182">
        <f>IF(AND(_ES11=0,_ES12=0),0,(_ES11+_ES12)/1000)</f>
        <v>0</v>
      </c>
      <c r="F31" s="280" t="s">
        <v>1048</v>
      </c>
      <c r="G31" s="176"/>
      <c r="L31" s="344"/>
    </row>
    <row r="32" spans="2:12" s="23" customFormat="1" ht="13" x14ac:dyDescent="0.25">
      <c r="B32" s="177" t="s">
        <v>907</v>
      </c>
      <c r="C32" s="181" t="s">
        <v>624</v>
      </c>
      <c r="D32" s="179" t="str">
        <f t="shared" si="0"/>
        <v>Tsd. Euro</v>
      </c>
      <c r="E32" s="182">
        <f>IF(_ES02=0,0,_ES02/1000)</f>
        <v>0</v>
      </c>
      <c r="F32" s="280" t="s">
        <v>1048</v>
      </c>
      <c r="G32" s="176"/>
      <c r="L32" s="344"/>
    </row>
    <row r="33" spans="2:12" s="23" customFormat="1" ht="13" x14ac:dyDescent="0.25">
      <c r="B33" s="177" t="s">
        <v>908</v>
      </c>
      <c r="C33" s="181" t="s">
        <v>343</v>
      </c>
      <c r="D33" s="179" t="str">
        <f t="shared" si="0"/>
        <v>Tsd. Euro</v>
      </c>
      <c r="E33" s="182">
        <f>IF(_UV25=0,0,_UV25/1000)</f>
        <v>0</v>
      </c>
      <c r="F33" s="280" t="s">
        <v>1044</v>
      </c>
      <c r="G33" s="176"/>
      <c r="L33" s="344"/>
    </row>
    <row r="34" spans="2:12" s="23" customFormat="1" ht="13" x14ac:dyDescent="0.25">
      <c r="B34" s="177" t="s">
        <v>909</v>
      </c>
      <c r="C34" s="181" t="s">
        <v>56</v>
      </c>
      <c r="D34" s="179" t="str">
        <f t="shared" si="0"/>
        <v>Tsd. Euro</v>
      </c>
      <c r="E34" s="182">
        <f>IF(_AM01=0,0,_AM01/1000)</f>
        <v>0</v>
      </c>
      <c r="F34" s="280" t="s">
        <v>1045</v>
      </c>
      <c r="G34" s="176"/>
      <c r="L34" s="344"/>
    </row>
    <row r="35" spans="2:12" s="23" customFormat="1" ht="13" x14ac:dyDescent="0.25">
      <c r="B35" s="177" t="s">
        <v>910</v>
      </c>
      <c r="C35" s="178" t="s">
        <v>541</v>
      </c>
      <c r="D35" s="179" t="str">
        <f t="shared" si="0"/>
        <v>Tsd. Euro</v>
      </c>
      <c r="E35" s="180">
        <f>IF(ISBLANK(_SE01),0,_SE01/1000)</f>
        <v>0</v>
      </c>
      <c r="F35" s="280" t="s">
        <v>1049</v>
      </c>
      <c r="G35" s="176"/>
      <c r="L35" s="344"/>
    </row>
    <row r="36" spans="2:12" s="23" customFormat="1" ht="25" x14ac:dyDescent="0.25">
      <c r="B36" s="177" t="s">
        <v>682</v>
      </c>
      <c r="C36" s="178" t="s">
        <v>811</v>
      </c>
      <c r="D36" s="179" t="str">
        <f t="shared" si="0"/>
        <v>Tsd. Euro</v>
      </c>
      <c r="E36" s="180">
        <f>IF(ISBLANK(_AS01),0,_AS01/1000)</f>
        <v>0</v>
      </c>
      <c r="F36" s="280" t="s">
        <v>1045</v>
      </c>
      <c r="G36" s="176"/>
      <c r="L36" s="344"/>
    </row>
    <row r="37" spans="2:12" s="23" customFormat="1" ht="50" x14ac:dyDescent="0.25">
      <c r="B37" s="177" t="s">
        <v>683</v>
      </c>
      <c r="C37" s="178" t="s">
        <v>1233</v>
      </c>
      <c r="D37" s="179" t="str">
        <f t="shared" si="0"/>
        <v>Tsd. Euro</v>
      </c>
      <c r="E37" s="180">
        <f>IF(ISBLANK(_AH01),0,_AH01/1000)</f>
        <v>0</v>
      </c>
      <c r="F37" s="280" t="s">
        <v>1045</v>
      </c>
      <c r="G37" s="176"/>
      <c r="L37" s="344"/>
    </row>
    <row r="38" spans="2:12" s="23" customFormat="1" ht="13" x14ac:dyDescent="0.25">
      <c r="B38" s="177" t="s">
        <v>684</v>
      </c>
      <c r="C38" s="178" t="s">
        <v>542</v>
      </c>
      <c r="D38" s="179" t="str">
        <f t="shared" si="0"/>
        <v>Tsd. Euro</v>
      </c>
      <c r="E38" s="180">
        <f>IF(ISBLANK(_LG10),0,_LG10/1000)</f>
        <v>0</v>
      </c>
      <c r="F38" s="280" t="s">
        <v>1045</v>
      </c>
      <c r="G38" s="176"/>
      <c r="L38" s="344"/>
    </row>
    <row r="39" spans="2:12" s="23" customFormat="1" ht="13" x14ac:dyDescent="0.25">
      <c r="B39" s="177" t="s">
        <v>685</v>
      </c>
      <c r="C39" s="178" t="s">
        <v>689</v>
      </c>
      <c r="D39" s="179" t="str">
        <f t="shared" si="0"/>
        <v>Tsd. Euro</v>
      </c>
      <c r="E39" s="180">
        <f>IF(_ZA01+_ZA02=0,0,(_ZA01+_ZA02+0.8*_ZA03)/1000)</f>
        <v>0</v>
      </c>
      <c r="F39" s="280" t="s">
        <v>1046</v>
      </c>
      <c r="G39" s="176"/>
      <c r="L39" s="344"/>
    </row>
    <row r="40" spans="2:12" s="23" customFormat="1" ht="13" x14ac:dyDescent="0.25">
      <c r="B40" s="177" t="s">
        <v>686</v>
      </c>
      <c r="C40" s="178" t="s">
        <v>27</v>
      </c>
      <c r="D40" s="179" t="str">
        <f t="shared" si="0"/>
        <v>Tsd. Euro</v>
      </c>
      <c r="E40" s="180">
        <f>(_GW10-_GW20+_AA10+_ZA02+_AF10+(_SP10-_SP09)+(IF(_LR10="",0,_LR10)-_LR09+_LR09A)-_SE02-_ZE10+_ZW10)/1000</f>
        <v>0</v>
      </c>
      <c r="F40" s="424" t="s">
        <v>1338</v>
      </c>
      <c r="G40" s="176"/>
      <c r="L40" s="344"/>
    </row>
    <row r="41" spans="2:12" s="23" customFormat="1" ht="13" x14ac:dyDescent="0.25">
      <c r="B41" s="177" t="s">
        <v>64</v>
      </c>
      <c r="C41" s="181" t="s">
        <v>627</v>
      </c>
      <c r="D41" s="179" t="str">
        <f t="shared" si="0"/>
        <v>Tsd. Euro</v>
      </c>
      <c r="E41" s="182">
        <f>(_GW10-_GW20+_AA10+_ZA02+_AF10-_SE08+(_SP10-_SP09)+(IF(_LR10="",0,_LR10)-_LR09+_LR09A)-_SE02-_ZE10+_ZW10)/1000</f>
        <v>0</v>
      </c>
      <c r="F41" s="339" t="s">
        <v>1339</v>
      </c>
      <c r="G41" s="176"/>
      <c r="L41" s="344"/>
    </row>
    <row r="42" spans="2:12" s="23" customFormat="1" ht="13" x14ac:dyDescent="0.25">
      <c r="B42" s="177" t="s">
        <v>631</v>
      </c>
      <c r="C42" s="181" t="s">
        <v>632</v>
      </c>
      <c r="D42" s="179" t="str">
        <f t="shared" si="0"/>
        <v>Tsd. Euro</v>
      </c>
      <c r="E42" s="182">
        <f>(_GW10-_GW20+_IK01+_AA10+_ZA02+_AF10+(_SP10-_SP09)+(IF(_LR10="",0,_LR10)-_LR09+_LR09A)-_SE02-_ZE10+_ZW10)/1000</f>
        <v>0</v>
      </c>
      <c r="F42" s="339" t="s">
        <v>1339</v>
      </c>
      <c r="G42" s="176"/>
      <c r="L42" s="344"/>
    </row>
    <row r="43" spans="2:12" s="23" customFormat="1" ht="13" x14ac:dyDescent="0.25">
      <c r="B43" s="177" t="s">
        <v>963</v>
      </c>
      <c r="C43" s="181" t="s">
        <v>964</v>
      </c>
      <c r="D43" s="193" t="s">
        <v>965</v>
      </c>
      <c r="E43" s="182">
        <f>(_GW10-_GW20+_AA10+_ZA02+_AF10+(_SP10-_SP09)+(IF(_LR10="",0,_LR10)-_LR09+_LR09A)-_SE02)/1000</f>
        <v>0</v>
      </c>
      <c r="F43" s="339" t="s">
        <v>1339</v>
      </c>
      <c r="G43" s="176"/>
      <c r="L43" s="344"/>
    </row>
    <row r="44" spans="2:12" s="23" customFormat="1" ht="13" x14ac:dyDescent="0.25">
      <c r="B44" s="177" t="s">
        <v>687</v>
      </c>
      <c r="C44" s="178" t="s">
        <v>812</v>
      </c>
      <c r="D44" s="179" t="str">
        <f t="shared" si="0"/>
        <v>Tsd. Euro</v>
      </c>
      <c r="E44" s="180">
        <f>IF(ISBLANK(_TI10),0,_TI10/1000)</f>
        <v>0</v>
      </c>
      <c r="F44" s="280" t="s">
        <v>1042</v>
      </c>
      <c r="G44" s="176"/>
      <c r="L44" s="344"/>
    </row>
    <row r="45" spans="2:12" s="23" customFormat="1" ht="13" hidden="1" x14ac:dyDescent="0.25">
      <c r="B45" s="177" t="s">
        <v>54</v>
      </c>
      <c r="C45" s="181" t="s">
        <v>347</v>
      </c>
      <c r="D45" s="179" t="str">
        <f t="shared" si="0"/>
        <v>Tsd. Euro</v>
      </c>
      <c r="E45" s="182">
        <f>IF(_UV24=0,0,_UV24/1000)</f>
        <v>0</v>
      </c>
      <c r="F45" s="280" t="s">
        <v>1044</v>
      </c>
      <c r="G45" s="176"/>
      <c r="L45" s="344"/>
    </row>
    <row r="46" spans="2:12" s="23" customFormat="1" ht="13" x14ac:dyDescent="0.25">
      <c r="B46" s="177"/>
      <c r="C46" s="178"/>
      <c r="D46" s="179"/>
      <c r="E46" s="186"/>
      <c r="F46" s="282"/>
      <c r="G46" s="176"/>
      <c r="L46" s="345"/>
    </row>
    <row r="47" spans="2:12" s="23" customFormat="1" ht="13" x14ac:dyDescent="0.25">
      <c r="B47" s="177" t="s">
        <v>543</v>
      </c>
      <c r="C47" s="187"/>
      <c r="D47" s="179"/>
      <c r="E47" s="187"/>
      <c r="F47" s="258"/>
      <c r="L47" s="345"/>
    </row>
    <row r="48" spans="2:12" s="23" customFormat="1" ht="13" x14ac:dyDescent="0.25">
      <c r="B48" s="177" t="s">
        <v>690</v>
      </c>
      <c r="C48" s="178" t="s">
        <v>42</v>
      </c>
      <c r="D48" s="179" t="s">
        <v>334</v>
      </c>
      <c r="E48" s="180">
        <f>_EE01+(_EE02/7)+_EE03+_EE04/12</f>
        <v>0</v>
      </c>
      <c r="F48" s="280" t="s">
        <v>1050</v>
      </c>
      <c r="L48" s="344"/>
    </row>
    <row r="49" spans="2:12" s="23" customFormat="1" ht="13" x14ac:dyDescent="0.25">
      <c r="B49" s="177" t="s">
        <v>614</v>
      </c>
      <c r="C49" s="178" t="s">
        <v>652</v>
      </c>
      <c r="D49" s="179" t="s">
        <v>334</v>
      </c>
      <c r="E49" s="180">
        <f>_PE01+(_PE02/7)+_PE03</f>
        <v>0</v>
      </c>
      <c r="F49" s="280" t="s">
        <v>1050</v>
      </c>
      <c r="L49" s="344"/>
    </row>
    <row r="50" spans="2:12" s="23" customFormat="1" ht="13" x14ac:dyDescent="0.25">
      <c r="B50" s="177" t="s">
        <v>691</v>
      </c>
      <c r="C50" s="178" t="s">
        <v>813</v>
      </c>
      <c r="D50" s="179" t="s">
        <v>334</v>
      </c>
      <c r="E50" s="180">
        <f>IF(ISBLANK(_FE10),0,_FE10)</f>
        <v>0</v>
      </c>
      <c r="F50" s="280" t="s">
        <v>1050</v>
      </c>
      <c r="L50" s="344"/>
    </row>
    <row r="51" spans="2:12" s="23" customFormat="1" ht="13" x14ac:dyDescent="0.25">
      <c r="B51" s="177" t="s">
        <v>692</v>
      </c>
      <c r="C51" s="178" t="s">
        <v>43</v>
      </c>
      <c r="D51" s="179" t="s">
        <v>544</v>
      </c>
      <c r="E51" s="180">
        <f>IF(ISBLANK(_EN10),0,_EN10)</f>
        <v>0</v>
      </c>
      <c r="F51" s="280" t="s">
        <v>1050</v>
      </c>
      <c r="L51" s="344"/>
    </row>
    <row r="52" spans="2:12" s="23" customFormat="1" ht="25" x14ac:dyDescent="0.25">
      <c r="B52" s="177" t="s">
        <v>657</v>
      </c>
      <c r="C52" s="178" t="s">
        <v>467</v>
      </c>
      <c r="D52" s="179" t="s">
        <v>544</v>
      </c>
      <c r="E52" s="180">
        <f>IF(ISBLANK(_EN12),0,_EN12)</f>
        <v>0</v>
      </c>
      <c r="F52" s="280" t="s">
        <v>1050</v>
      </c>
      <c r="L52" s="344"/>
    </row>
    <row r="53" spans="2:12" s="23" customFormat="1" ht="13" x14ac:dyDescent="0.25">
      <c r="B53" s="177" t="s">
        <v>693</v>
      </c>
      <c r="C53" s="178" t="s">
        <v>1142</v>
      </c>
      <c r="D53" s="179" t="s">
        <v>544</v>
      </c>
      <c r="E53" s="180">
        <f>IF(ISBLANK(_EN11),0,_EN11)</f>
        <v>0</v>
      </c>
      <c r="F53" s="280" t="s">
        <v>1050</v>
      </c>
      <c r="L53" s="344"/>
    </row>
    <row r="54" spans="2:12" s="23" customFormat="1" ht="13" x14ac:dyDescent="0.25">
      <c r="B54" s="177" t="s">
        <v>658</v>
      </c>
      <c r="C54" s="178" t="s">
        <v>468</v>
      </c>
      <c r="D54" s="179" t="s">
        <v>544</v>
      </c>
      <c r="E54" s="180">
        <f>IF(ISBLANK(_EN13),0,_EN13)</f>
        <v>0</v>
      </c>
      <c r="F54" s="280" t="s">
        <v>1050</v>
      </c>
      <c r="L54" s="344"/>
    </row>
    <row r="55" spans="2:12" s="23" customFormat="1" x14ac:dyDescent="0.25">
      <c r="B55" s="187"/>
      <c r="C55" s="187"/>
      <c r="D55" s="179"/>
      <c r="E55" s="186"/>
      <c r="F55" s="282"/>
      <c r="L55" s="345"/>
    </row>
    <row r="56" spans="2:12" s="23" customFormat="1" ht="15.5" x14ac:dyDescent="0.25">
      <c r="B56" s="188" t="s">
        <v>546</v>
      </c>
      <c r="C56" s="187"/>
      <c r="D56" s="179"/>
      <c r="E56" s="187"/>
      <c r="F56" s="258"/>
      <c r="L56" s="345"/>
    </row>
    <row r="57" spans="2:12" s="23" customFormat="1" x14ac:dyDescent="0.25">
      <c r="B57" s="187"/>
      <c r="C57" s="187"/>
      <c r="D57" s="179"/>
      <c r="E57" s="186"/>
      <c r="F57" s="282"/>
      <c r="L57" s="345"/>
    </row>
    <row r="58" spans="2:12" s="23" customFormat="1" ht="13" x14ac:dyDescent="0.25">
      <c r="B58" s="177" t="s">
        <v>547</v>
      </c>
      <c r="C58" s="187"/>
      <c r="D58" s="179"/>
      <c r="E58" s="187"/>
      <c r="F58" s="258"/>
      <c r="L58" s="345"/>
    </row>
    <row r="59" spans="2:12" s="23" customFormat="1" ht="25.5" x14ac:dyDescent="0.25">
      <c r="B59" s="177" t="s">
        <v>694</v>
      </c>
      <c r="C59" s="183" t="s">
        <v>504</v>
      </c>
      <c r="D59" s="179" t="s">
        <v>548</v>
      </c>
      <c r="E59" s="189">
        <f>IF(_GK10=0,0,_AV10*100/_GK10)</f>
        <v>0</v>
      </c>
      <c r="F59" s="281" t="s">
        <v>1051</v>
      </c>
      <c r="G59" s="250">
        <v>50</v>
      </c>
      <c r="H59" s="250"/>
      <c r="I59" s="250">
        <v>98</v>
      </c>
      <c r="J59" s="251" t="str">
        <f>IF(OR(E59&lt;G59,E59&gt;I59),"X","")</f>
        <v>X</v>
      </c>
      <c r="K59" s="273">
        <f>IF(J59="X",1,0)</f>
        <v>1</v>
      </c>
      <c r="L59" s="344"/>
    </row>
    <row r="60" spans="2:12" s="23" customFormat="1" ht="42" customHeight="1" x14ac:dyDescent="0.25">
      <c r="B60" s="177" t="s">
        <v>695</v>
      </c>
      <c r="C60" s="183" t="s">
        <v>473</v>
      </c>
      <c r="D60" s="179" t="s">
        <v>548</v>
      </c>
      <c r="E60" s="189">
        <f>IF(_AK08=0,0,_KA08*100/_AK08)</f>
        <v>0</v>
      </c>
      <c r="F60" s="281" t="s">
        <v>1044</v>
      </c>
      <c r="G60" s="250">
        <v>5</v>
      </c>
      <c r="H60" s="250"/>
      <c r="I60" s="250">
        <v>75</v>
      </c>
      <c r="J60" s="251" t="str">
        <f t="shared" ref="J60:J70" si="1">IF(OR(E60&lt;G60,E60&gt;I60),"X","")</f>
        <v>X</v>
      </c>
      <c r="K60" s="273">
        <f t="shared" ref="K60:K70" si="2">IF(J60="X",1,0)</f>
        <v>1</v>
      </c>
      <c r="L60" s="344"/>
    </row>
    <row r="61" spans="2:12" s="23" customFormat="1" ht="50.5" x14ac:dyDescent="0.25">
      <c r="B61" s="177" t="s">
        <v>696</v>
      </c>
      <c r="C61" s="183" t="s">
        <v>1276</v>
      </c>
      <c r="D61" s="179" t="s">
        <v>548</v>
      </c>
      <c r="E61" s="189">
        <f>IF(_AS01=0,0,_AV11*100/_AS01)</f>
        <v>0</v>
      </c>
      <c r="F61" s="281" t="s">
        <v>1052</v>
      </c>
      <c r="G61" s="250">
        <v>0</v>
      </c>
      <c r="H61" s="250"/>
      <c r="I61" s="250">
        <v>2000</v>
      </c>
      <c r="J61" s="251" t="str">
        <f t="shared" si="1"/>
        <v/>
      </c>
      <c r="K61" s="273">
        <f t="shared" si="2"/>
        <v>0</v>
      </c>
      <c r="L61" s="344"/>
    </row>
    <row r="62" spans="2:12" s="23" customFormat="1" ht="25.5" x14ac:dyDescent="0.25">
      <c r="B62" s="177" t="s">
        <v>697</v>
      </c>
      <c r="C62" s="183" t="s">
        <v>1237</v>
      </c>
      <c r="D62" s="179" t="s">
        <v>548</v>
      </c>
      <c r="E62" s="189">
        <f>IF(_GK10=0,0,_K02*1000*100/_GK10)</f>
        <v>0</v>
      </c>
      <c r="F62" s="281" t="s">
        <v>1053</v>
      </c>
      <c r="G62" s="250">
        <v>5</v>
      </c>
      <c r="H62" s="250"/>
      <c r="I62" s="250">
        <v>85</v>
      </c>
      <c r="J62" s="251" t="str">
        <f t="shared" si="1"/>
        <v>X</v>
      </c>
      <c r="K62" s="273">
        <f t="shared" si="2"/>
        <v>1</v>
      </c>
      <c r="L62" s="344"/>
    </row>
    <row r="63" spans="2:12" s="23" customFormat="1" ht="41.25" hidden="1" customHeight="1" x14ac:dyDescent="0.25">
      <c r="B63" s="329" t="s">
        <v>880</v>
      </c>
      <c r="C63" s="333" t="s">
        <v>883</v>
      </c>
      <c r="D63" s="331" t="s">
        <v>548</v>
      </c>
      <c r="E63" s="334">
        <f>IF(_GK10=0,0,_K02A/_K01A)</f>
        <v>0</v>
      </c>
      <c r="F63" s="281"/>
      <c r="G63" s="250"/>
      <c r="H63" s="250"/>
      <c r="I63" s="250"/>
      <c r="J63" s="251"/>
      <c r="K63" s="273"/>
      <c r="L63" s="344"/>
    </row>
    <row r="64" spans="2:12" s="23" customFormat="1" ht="38.5" x14ac:dyDescent="0.25">
      <c r="B64" s="177" t="s">
        <v>1104</v>
      </c>
      <c r="C64" s="183" t="s">
        <v>1105</v>
      </c>
      <c r="D64" s="179" t="s">
        <v>548</v>
      </c>
      <c r="E64" s="189">
        <f>IF(_GK10=0,0,((_K02*1000)+_RBAU)*100/_GK10)</f>
        <v>0</v>
      </c>
      <c r="F64" s="281" t="s">
        <v>1053</v>
      </c>
      <c r="G64" s="250">
        <v>5</v>
      </c>
      <c r="H64" s="250"/>
      <c r="I64" s="250">
        <v>85</v>
      </c>
      <c r="J64" s="251" t="str">
        <f t="shared" si="1"/>
        <v>X</v>
      </c>
      <c r="K64" s="273">
        <f t="shared" si="2"/>
        <v>1</v>
      </c>
      <c r="L64" s="344"/>
    </row>
    <row r="65" spans="2:12" s="23" customFormat="1" ht="25.5" x14ac:dyDescent="0.25">
      <c r="B65" s="177" t="s">
        <v>698</v>
      </c>
      <c r="C65" s="183" t="s">
        <v>1236</v>
      </c>
      <c r="D65" s="179" t="s">
        <v>548</v>
      </c>
      <c r="E65" s="189">
        <f>IF(_GK10=0,0,(_FK10+_FK50+_SL10+_LV10+(_SP10/4))*100/_GK10)</f>
        <v>0</v>
      </c>
      <c r="F65" s="281" t="s">
        <v>1053</v>
      </c>
      <c r="G65" s="250">
        <v>0</v>
      </c>
      <c r="H65" s="250"/>
      <c r="I65" s="250">
        <v>80</v>
      </c>
      <c r="J65" s="251" t="str">
        <f t="shared" si="1"/>
        <v/>
      </c>
      <c r="K65" s="273">
        <f t="shared" si="2"/>
        <v>0</v>
      </c>
      <c r="L65" s="344"/>
    </row>
    <row r="66" spans="2:12" s="23" customFormat="1" ht="25.5" x14ac:dyDescent="0.25">
      <c r="B66" s="177" t="s">
        <v>635</v>
      </c>
      <c r="C66" s="183" t="s">
        <v>636</v>
      </c>
      <c r="D66" s="179" t="s">
        <v>548</v>
      </c>
      <c r="E66" s="189">
        <f>IF(_GK10=0,0,(_FK10+_SP10/4+_FK50+_SL10+_LV10+_KV10+_LR10)*100/_GK10)</f>
        <v>0</v>
      </c>
      <c r="F66" s="281" t="s">
        <v>1053</v>
      </c>
      <c r="G66" s="250">
        <v>5</v>
      </c>
      <c r="H66" s="250"/>
      <c r="I66" s="250">
        <v>85</v>
      </c>
      <c r="J66" s="251" t="str">
        <f t="shared" si="1"/>
        <v>X</v>
      </c>
      <c r="K66" s="273">
        <f t="shared" si="2"/>
        <v>1</v>
      </c>
      <c r="L66" s="344"/>
    </row>
    <row r="67" spans="2:12" s="23" customFormat="1" ht="50.5" x14ac:dyDescent="0.25">
      <c r="B67" s="177" t="s">
        <v>1307</v>
      </c>
      <c r="C67" s="183" t="s">
        <v>1310</v>
      </c>
      <c r="D67" s="193" t="s">
        <v>548</v>
      </c>
      <c r="E67" s="189">
        <f>IF(_FK10+_SL10+_SL20=0,0,(_ZA01+_TI10+_ZA03)/(_FK10+_SL10+_SL20)*100)</f>
        <v>0</v>
      </c>
      <c r="F67" s="359" t="s">
        <v>1057</v>
      </c>
      <c r="G67" s="250"/>
      <c r="H67" s="250"/>
      <c r="I67" s="250"/>
      <c r="J67" s="251"/>
      <c r="K67" s="273"/>
      <c r="L67" s="344"/>
    </row>
    <row r="68" spans="2:12" s="23" customFormat="1" ht="25.5" x14ac:dyDescent="0.25">
      <c r="B68" s="177" t="s">
        <v>1308</v>
      </c>
      <c r="C68" s="183" t="s">
        <v>1309</v>
      </c>
      <c r="D68" s="193" t="s">
        <v>548</v>
      </c>
      <c r="E68" s="189">
        <f>IF(_K06A=0,0,(_K06A*1000/(_FK10+_SL10+_SL20)*100))</f>
        <v>0</v>
      </c>
      <c r="F68" s="359" t="s">
        <v>1057</v>
      </c>
      <c r="G68" s="250"/>
      <c r="H68" s="250"/>
      <c r="I68" s="250"/>
      <c r="J68" s="251"/>
      <c r="K68" s="273"/>
      <c r="L68" s="344"/>
    </row>
    <row r="69" spans="2:12" s="23" customFormat="1" ht="38" x14ac:dyDescent="0.25">
      <c r="B69" s="177" t="s">
        <v>699</v>
      </c>
      <c r="C69" s="183" t="s">
        <v>1235</v>
      </c>
      <c r="D69" s="179" t="s">
        <v>548</v>
      </c>
      <c r="E69" s="189">
        <f>IF(_AV10=0,0,(_EK10+_SP10+_LR10+_FK10+_LV10+_SL10)*100/_AV10)</f>
        <v>0</v>
      </c>
      <c r="F69" s="281" t="s">
        <v>1054</v>
      </c>
      <c r="G69" s="250">
        <v>90</v>
      </c>
      <c r="H69" s="250"/>
      <c r="I69" s="250">
        <v>150</v>
      </c>
      <c r="J69" s="251" t="str">
        <f>IF(OR(E69&lt;G69,E69&gt;I69),"X","")</f>
        <v>X</v>
      </c>
      <c r="K69" s="273">
        <f t="shared" si="2"/>
        <v>1</v>
      </c>
      <c r="L69" s="344"/>
    </row>
    <row r="70" spans="2:12" s="23" customFormat="1" ht="38" x14ac:dyDescent="0.25">
      <c r="B70" s="177" t="s">
        <v>700</v>
      </c>
      <c r="C70" s="183" t="s">
        <v>1234</v>
      </c>
      <c r="D70" s="179" t="s">
        <v>548</v>
      </c>
      <c r="E70" s="189">
        <f>IF(_KV10=0,0,_UV10*100/_KV10)</f>
        <v>0</v>
      </c>
      <c r="F70" s="281" t="s">
        <v>1055</v>
      </c>
      <c r="G70" s="250">
        <v>90</v>
      </c>
      <c r="H70" s="250"/>
      <c r="I70" s="250">
        <v>3000</v>
      </c>
      <c r="J70" s="251" t="str">
        <f t="shared" si="1"/>
        <v>X</v>
      </c>
      <c r="K70" s="273">
        <f t="shared" si="2"/>
        <v>1</v>
      </c>
      <c r="L70" s="344"/>
    </row>
    <row r="71" spans="2:12" s="23" customFormat="1" x14ac:dyDescent="0.25">
      <c r="B71" s="187"/>
      <c r="C71" s="178"/>
      <c r="D71" s="179"/>
      <c r="E71" s="190"/>
      <c r="F71" s="283"/>
      <c r="L71" s="345"/>
    </row>
    <row r="72" spans="2:12" s="23" customFormat="1" ht="13" x14ac:dyDescent="0.25">
      <c r="B72" s="177" t="s">
        <v>549</v>
      </c>
      <c r="C72" s="187"/>
      <c r="D72" s="179"/>
      <c r="E72" s="187"/>
      <c r="F72" s="258"/>
      <c r="L72" s="345"/>
    </row>
    <row r="73" spans="2:12" s="23" customFormat="1" ht="40.5" customHeight="1" x14ac:dyDescent="0.25">
      <c r="B73" s="177" t="s">
        <v>701</v>
      </c>
      <c r="C73" s="183" t="s">
        <v>172</v>
      </c>
      <c r="D73" s="179" t="s">
        <v>548</v>
      </c>
      <c r="E73" s="189">
        <f>IF(_EK10+_SP10*3/4=0,0,(_GW10-_GW20+_ST10)*100/(_EK10+_SP10*3/4))</f>
        <v>0</v>
      </c>
      <c r="F73" s="281" t="s">
        <v>1056</v>
      </c>
      <c r="L73" s="344"/>
    </row>
    <row r="74" spans="2:12" s="23" customFormat="1" ht="53.25" customHeight="1" x14ac:dyDescent="0.25">
      <c r="B74" s="183" t="s">
        <v>28</v>
      </c>
      <c r="C74" s="183" t="s">
        <v>511</v>
      </c>
      <c r="D74" s="191" t="s">
        <v>548</v>
      </c>
      <c r="E74" s="192">
        <f>IF(((_EK09+_SP09*3/4+_EK10+_SP10*3/4)/2)=0,0,(_GW10-_GW20+_ST10)*100/((_EK09+_SP09*3/4+_EK10+_SP10*3/4)/2))</f>
        <v>0</v>
      </c>
      <c r="F74" s="281" t="s">
        <v>1056</v>
      </c>
      <c r="L74" s="344"/>
    </row>
    <row r="75" spans="2:12" s="23" customFormat="1" ht="25.5" x14ac:dyDescent="0.25">
      <c r="B75" s="183" t="s">
        <v>659</v>
      </c>
      <c r="C75" s="183" t="s">
        <v>173</v>
      </c>
      <c r="D75" s="191" t="s">
        <v>548</v>
      </c>
      <c r="E75" s="189">
        <f>IF(_EK10+_SP10*3/4=0,0,(_GW10-_GW20)*100/(_EK10+_SP10*3/4))</f>
        <v>0</v>
      </c>
      <c r="F75" s="281" t="s">
        <v>1056</v>
      </c>
      <c r="L75" s="344"/>
    </row>
    <row r="76" spans="2:12" s="23" customFormat="1" ht="51" x14ac:dyDescent="0.25">
      <c r="B76" s="183" t="s">
        <v>1278</v>
      </c>
      <c r="C76" s="183" t="s">
        <v>510</v>
      </c>
      <c r="D76" s="191" t="s">
        <v>548</v>
      </c>
      <c r="E76" s="192">
        <f>IF(((_EK09+_SP09*3/4+_EK10+_SP10*3/4)/2)=0,0,(_GW10-_GW20)*100/((_EK09+_SP09*3/4+_EK10+_SP10*3/4)/2))</f>
        <v>0</v>
      </c>
      <c r="F76" s="281" t="s">
        <v>1056</v>
      </c>
      <c r="L76" s="344"/>
    </row>
    <row r="77" spans="2:12" s="23" customFormat="1" ht="38" x14ac:dyDescent="0.25">
      <c r="B77" s="183" t="s">
        <v>1107</v>
      </c>
      <c r="C77" s="183" t="s">
        <v>174</v>
      </c>
      <c r="D77" s="191" t="s">
        <v>548</v>
      </c>
      <c r="E77" s="192">
        <f>IF((((_EK09+_SP09*3/4+_EK10+_SP10*3/4))/2)=0,0,(_GW10-_GW20+_ST10)*100/((_EK10+_SP10*3/4+_RBAU)))</f>
        <v>0</v>
      </c>
      <c r="F77" s="281" t="s">
        <v>1056</v>
      </c>
      <c r="L77" s="344"/>
    </row>
    <row r="78" spans="2:12" s="23" customFormat="1" ht="38" x14ac:dyDescent="0.25">
      <c r="B78" s="177" t="s">
        <v>702</v>
      </c>
      <c r="C78" s="183" t="s">
        <v>506</v>
      </c>
      <c r="D78" s="179" t="s">
        <v>548</v>
      </c>
      <c r="E78" s="189">
        <f>IF(_GK10=0,0,(_GW10-_GW20+_ST10+_ZA10)*100/_GK10)</f>
        <v>0</v>
      </c>
      <c r="F78" s="281" t="s">
        <v>1057</v>
      </c>
      <c r="L78" s="344"/>
    </row>
    <row r="79" spans="2:12" s="23" customFormat="1" ht="38" x14ac:dyDescent="0.25">
      <c r="B79" s="177" t="s">
        <v>660</v>
      </c>
      <c r="C79" s="183" t="s">
        <v>507</v>
      </c>
      <c r="D79" s="179" t="s">
        <v>548</v>
      </c>
      <c r="E79" s="189">
        <f>IF(_GK10=0,0,(_GW10-_GW20+_ZA10)*100/_GK10)</f>
        <v>0</v>
      </c>
      <c r="F79" s="281" t="s">
        <v>1057</v>
      </c>
      <c r="L79" s="344"/>
    </row>
    <row r="80" spans="2:12" s="23" customFormat="1" ht="25.5" x14ac:dyDescent="0.25">
      <c r="B80" s="177" t="s">
        <v>703</v>
      </c>
      <c r="C80" s="183" t="s">
        <v>508</v>
      </c>
      <c r="D80" s="179" t="s">
        <v>548</v>
      </c>
      <c r="E80" s="189">
        <f>IF(_GK10=0,0,(_GW10-_GW20+_ST10)*100/_GK10)</f>
        <v>0</v>
      </c>
      <c r="F80" s="281" t="s">
        <v>1057</v>
      </c>
      <c r="L80" s="344"/>
    </row>
    <row r="81" spans="2:12" s="23" customFormat="1" ht="25.5" x14ac:dyDescent="0.25">
      <c r="B81" s="177" t="s">
        <v>704</v>
      </c>
      <c r="C81" s="183" t="s">
        <v>509</v>
      </c>
      <c r="D81" s="179" t="s">
        <v>548</v>
      </c>
      <c r="E81" s="189">
        <f>IF(_EK10+_SP10*3/4=0,0,_K14*1000*100/(_EK10+_SP10*3/4))</f>
        <v>0</v>
      </c>
      <c r="F81" s="281" t="s">
        <v>1058</v>
      </c>
      <c r="G81" s="176"/>
      <c r="L81" s="346"/>
    </row>
    <row r="82" spans="2:12" s="23" customFormat="1" ht="25.5" x14ac:dyDescent="0.25">
      <c r="B82" s="183" t="s">
        <v>29</v>
      </c>
      <c r="C82" s="183" t="s">
        <v>885</v>
      </c>
      <c r="D82" s="191" t="s">
        <v>548</v>
      </c>
      <c r="E82" s="192">
        <f>IF(((_EK09+_SP09*3/4+_EK10+_SP10*3/4)/2)=0,0,(_K14*1000*100)/((_EK09+_SP09*3/4+_EK10+_SP10*3/4)/2))</f>
        <v>0</v>
      </c>
      <c r="F82" s="281" t="s">
        <v>1058</v>
      </c>
      <c r="G82" s="176"/>
      <c r="L82" s="346"/>
    </row>
    <row r="83" spans="2:12" s="23" customFormat="1" ht="25.5" x14ac:dyDescent="0.25">
      <c r="B83" s="183" t="s">
        <v>638</v>
      </c>
      <c r="C83" s="183" t="s">
        <v>479</v>
      </c>
      <c r="D83" s="191" t="s">
        <v>548</v>
      </c>
      <c r="E83" s="185">
        <f>IF(_EK10+_SP10*3/4=0,0,_K14C*1000*100/(_EK10+_SP10*3/4))</f>
        <v>0</v>
      </c>
      <c r="F83" s="281" t="s">
        <v>1058</v>
      </c>
      <c r="G83" s="176"/>
      <c r="L83" s="346"/>
    </row>
    <row r="84" spans="2:12" s="23" customFormat="1" ht="25.5" x14ac:dyDescent="0.25">
      <c r="B84" s="177" t="s">
        <v>705</v>
      </c>
      <c r="C84" s="183" t="s">
        <v>866</v>
      </c>
      <c r="D84" s="179" t="s">
        <v>548</v>
      </c>
      <c r="E84" s="189">
        <f>IF(_GK10=0,0,(_K14*1000+_ZA10)*100/_GK10)</f>
        <v>0</v>
      </c>
      <c r="F84" s="281" t="s">
        <v>1059</v>
      </c>
      <c r="L84" s="344"/>
    </row>
    <row r="85" spans="2:12" s="23" customFormat="1" ht="38" x14ac:dyDescent="0.25">
      <c r="B85" s="177" t="s">
        <v>639</v>
      </c>
      <c r="C85" s="183" t="s">
        <v>477</v>
      </c>
      <c r="D85" s="193" t="s">
        <v>548</v>
      </c>
      <c r="E85" s="185">
        <f>IF(_GK10=0,0,(_K14C*1000+_ZA10)*100/_GK10)</f>
        <v>0</v>
      </c>
      <c r="F85" s="281" t="s">
        <v>1059</v>
      </c>
      <c r="L85" s="344"/>
    </row>
    <row r="86" spans="2:12" s="23" customFormat="1" ht="25.5" x14ac:dyDescent="0.25">
      <c r="B86" s="177" t="s">
        <v>706</v>
      </c>
      <c r="C86" s="183" t="s">
        <v>512</v>
      </c>
      <c r="D86" s="179" t="s">
        <v>548</v>
      </c>
      <c r="E86" s="189">
        <f>IF(_GK10=0,0,_K14*1000*100/_GK10)</f>
        <v>0</v>
      </c>
      <c r="F86" s="281" t="s">
        <v>1060</v>
      </c>
      <c r="L86" s="344"/>
    </row>
    <row r="87" spans="2:12" s="23" customFormat="1" ht="25.5" x14ac:dyDescent="0.25">
      <c r="B87" s="177" t="s">
        <v>640</v>
      </c>
      <c r="C87" s="183" t="s">
        <v>513</v>
      </c>
      <c r="D87" s="193" t="s">
        <v>548</v>
      </c>
      <c r="E87" s="185">
        <f>IF(_GK10=0,0,_K14C*1000*100/_GK10)</f>
        <v>0</v>
      </c>
      <c r="F87" s="281" t="s">
        <v>1060</v>
      </c>
      <c r="L87" s="344"/>
    </row>
    <row r="88" spans="2:12" s="23" customFormat="1" ht="25.5" x14ac:dyDescent="0.25">
      <c r="B88" s="177" t="s">
        <v>707</v>
      </c>
      <c r="C88" s="183" t="s">
        <v>514</v>
      </c>
      <c r="D88" s="179" t="s">
        <v>548</v>
      </c>
      <c r="E88" s="189">
        <f>IF((_UE10+_UE20+_UE30+_UE40)=0,0,(_K14*1000)*100/(_UE10+_UE20+_UE30+_UE40))</f>
        <v>0</v>
      </c>
      <c r="F88" s="281" t="s">
        <v>1061</v>
      </c>
      <c r="L88" s="344"/>
    </row>
    <row r="89" spans="2:12" s="23" customFormat="1" ht="25.5" x14ac:dyDescent="0.25">
      <c r="B89" s="183" t="s">
        <v>1229</v>
      </c>
      <c r="C89" s="183" t="s">
        <v>474</v>
      </c>
      <c r="D89" s="191" t="s">
        <v>1136</v>
      </c>
      <c r="E89" s="192">
        <f>IF(ISBLANK(_TI10),0,_K14/_K15)</f>
        <v>0</v>
      </c>
      <c r="F89" s="284" t="s">
        <v>1060</v>
      </c>
      <c r="L89" s="344"/>
    </row>
    <row r="90" spans="2:12" s="23" customFormat="1" ht="38" x14ac:dyDescent="0.25">
      <c r="B90" s="183" t="s">
        <v>641</v>
      </c>
      <c r="C90" s="183" t="s">
        <v>478</v>
      </c>
      <c r="D90" s="191" t="s">
        <v>1136</v>
      </c>
      <c r="E90" s="192">
        <f>IF(ISBLANK(_TI10),0,_K14C/_K15)</f>
        <v>0</v>
      </c>
      <c r="F90" s="284" t="s">
        <v>1060</v>
      </c>
      <c r="L90" s="344"/>
    </row>
    <row r="91" spans="2:12" s="23" customFormat="1" ht="25.5" x14ac:dyDescent="0.25">
      <c r="B91" s="177" t="s">
        <v>708</v>
      </c>
      <c r="C91" s="183" t="s">
        <v>515</v>
      </c>
      <c r="D91" s="179" t="s">
        <v>548</v>
      </c>
      <c r="E91" s="189">
        <f>IF(_GK10=0,0,((_UE10+_UE20+_UE30+_UE40)*100/_GK10))</f>
        <v>0</v>
      </c>
      <c r="F91" s="281" t="s">
        <v>1062</v>
      </c>
      <c r="L91" s="344"/>
    </row>
    <row r="92" spans="2:12" s="23" customFormat="1" ht="27.75" customHeight="1" x14ac:dyDescent="0.25">
      <c r="B92" s="177" t="s">
        <v>709</v>
      </c>
      <c r="C92" s="183" t="s">
        <v>516</v>
      </c>
      <c r="D92" s="179" t="s">
        <v>548</v>
      </c>
      <c r="E92" s="189">
        <f>IF((_GK10+_KA04+_KA08)=0,0,(_K14*1000)*100/(_GK10+_KA04+_KA08))</f>
        <v>0</v>
      </c>
      <c r="F92" s="425" t="s">
        <v>1315</v>
      </c>
      <c r="L92" s="344"/>
    </row>
    <row r="93" spans="2:12" s="23" customFormat="1" ht="25.5" x14ac:dyDescent="0.25">
      <c r="B93" s="177" t="s">
        <v>617</v>
      </c>
      <c r="C93" s="183" t="s">
        <v>633</v>
      </c>
      <c r="D93" s="179" t="s">
        <v>548</v>
      </c>
      <c r="E93" s="189">
        <f>IF((_GK10+_KA04+_KA08)=0,0,(((_GW10-_GW20+_XX28-_GR10-_XX50+_ST10+_AA04+_AA03-_EA01)+(_ZA10-_EZ02-_SE02-_EW01+_AA10-_AS05+_AS04+_AF10)))*100/(_GK10+_KA04+_KA08))</f>
        <v>0</v>
      </c>
      <c r="F93" s="425" t="s">
        <v>943</v>
      </c>
      <c r="L93" s="344"/>
    </row>
    <row r="94" spans="2:12" s="23" customFormat="1" ht="25.5" x14ac:dyDescent="0.25">
      <c r="B94" s="177" t="s">
        <v>710</v>
      </c>
      <c r="C94" s="183" t="s">
        <v>11</v>
      </c>
      <c r="D94" s="179" t="s">
        <v>548</v>
      </c>
      <c r="E94" s="189">
        <f>IF(_AV11=0,0,_K14*1000*100/_AV11)</f>
        <v>0</v>
      </c>
      <c r="F94" s="425" t="s">
        <v>1316</v>
      </c>
      <c r="L94" s="344"/>
    </row>
    <row r="95" spans="2:12" s="23" customFormat="1" ht="25.5" x14ac:dyDescent="0.25">
      <c r="B95" s="177" t="s">
        <v>642</v>
      </c>
      <c r="C95" s="183" t="s">
        <v>484</v>
      </c>
      <c r="D95" s="193" t="s">
        <v>548</v>
      </c>
      <c r="E95" s="185">
        <f>IF(_AV11=0,0,_K14C*1000*100/_AV11)</f>
        <v>0</v>
      </c>
      <c r="F95" s="425" t="s">
        <v>1316</v>
      </c>
      <c r="L95" s="344"/>
    </row>
    <row r="96" spans="2:12" s="23" customFormat="1" ht="25.5" x14ac:dyDescent="0.25">
      <c r="B96" s="177" t="s">
        <v>711</v>
      </c>
      <c r="C96" s="183" t="s">
        <v>12</v>
      </c>
      <c r="D96" s="193" t="s">
        <v>548</v>
      </c>
      <c r="E96" s="185">
        <f>IF(_AV11=0,0,(_K14*1000-_TI10)*100/_AV11)</f>
        <v>0</v>
      </c>
      <c r="F96" s="425" t="s">
        <v>1315</v>
      </c>
      <c r="L96" s="344"/>
    </row>
    <row r="97" spans="2:12" s="23" customFormat="1" ht="25.5" x14ac:dyDescent="0.25">
      <c r="B97" s="177" t="s">
        <v>643</v>
      </c>
      <c r="C97" s="183" t="s">
        <v>485</v>
      </c>
      <c r="D97" s="193" t="s">
        <v>548</v>
      </c>
      <c r="E97" s="185">
        <f>IF(_AV11=0,0,(_K14C*1000-_TI10)*100/_AV11)</f>
        <v>0</v>
      </c>
      <c r="F97" s="425" t="s">
        <v>1315</v>
      </c>
      <c r="L97" s="344"/>
    </row>
    <row r="98" spans="2:12" s="23" customFormat="1" ht="25.5" x14ac:dyDescent="0.25">
      <c r="B98" s="177" t="s">
        <v>712</v>
      </c>
      <c r="C98" s="183" t="s">
        <v>10</v>
      </c>
      <c r="D98" s="193" t="s">
        <v>844</v>
      </c>
      <c r="E98" s="185">
        <f>IF(_K14=0,0,(_GK10-_EK10-_SP10*3/4-_UV10)/(_CF01*1000))</f>
        <v>0</v>
      </c>
      <c r="F98" s="425" t="s">
        <v>1317</v>
      </c>
      <c r="L98" s="344"/>
    </row>
    <row r="99" spans="2:12" s="23" customFormat="1" ht="25.5" x14ac:dyDescent="0.25">
      <c r="B99" s="177" t="s">
        <v>644</v>
      </c>
      <c r="C99" s="183" t="s">
        <v>486</v>
      </c>
      <c r="D99" s="193" t="s">
        <v>844</v>
      </c>
      <c r="E99" s="185">
        <f>IF(_K14C=0,0,(_GK10-_EK10-_SP10*3/4-_UV10)/(_CF02*1000))</f>
        <v>0</v>
      </c>
      <c r="F99" s="425" t="s">
        <v>1317</v>
      </c>
      <c r="L99" s="344"/>
    </row>
    <row r="100" spans="2:12" s="23" customFormat="1" ht="38" x14ac:dyDescent="0.25">
      <c r="B100" s="177" t="s">
        <v>713</v>
      </c>
      <c r="C100" s="183" t="s">
        <v>649</v>
      </c>
      <c r="D100" s="179" t="s">
        <v>548</v>
      </c>
      <c r="E100" s="189">
        <f>IF(OR(_FK10=0,_FK10=""),0,(_ZA01+_ZA02)*100/_FK10)</f>
        <v>0</v>
      </c>
      <c r="F100" s="425" t="s">
        <v>1057</v>
      </c>
      <c r="G100" s="250">
        <v>2</v>
      </c>
      <c r="H100" s="250"/>
      <c r="I100" s="250">
        <v>9</v>
      </c>
      <c r="J100" s="251" t="str">
        <f>IF(OR(E100&lt;G100,E100&gt;I100),"X","")</f>
        <v>X</v>
      </c>
      <c r="K100" s="273">
        <f t="shared" ref="K100:K126" si="3">IF(J100="X",1,0)</f>
        <v>1</v>
      </c>
      <c r="L100" s="344"/>
    </row>
    <row r="101" spans="2:12" s="23" customFormat="1" ht="25.5" x14ac:dyDescent="0.25">
      <c r="B101" s="183" t="s">
        <v>1279</v>
      </c>
      <c r="C101" s="183" t="s">
        <v>1280</v>
      </c>
      <c r="D101" s="191" t="s">
        <v>548</v>
      </c>
      <c r="E101" s="192">
        <f>IF(ISBLANK(_ZA03),0,_ZA03*100/(_SL10+_SL20))</f>
        <v>0</v>
      </c>
      <c r="F101" s="425" t="s">
        <v>1057</v>
      </c>
      <c r="G101" s="22"/>
      <c r="H101" s="22"/>
      <c r="I101" s="22"/>
      <c r="J101" s="251"/>
      <c r="K101" s="273">
        <f t="shared" si="3"/>
        <v>0</v>
      </c>
      <c r="L101" s="344"/>
    </row>
    <row r="102" spans="2:12" s="23" customFormat="1" ht="25.5" x14ac:dyDescent="0.25">
      <c r="B102" s="183" t="s">
        <v>634</v>
      </c>
      <c r="C102" s="183" t="s">
        <v>650</v>
      </c>
      <c r="D102" s="191" t="s">
        <v>548</v>
      </c>
      <c r="E102" s="189">
        <f>IF(OR(_FK10=0,_FK10=""),0,(_ZA10-_ZA06)*100/(_FK10+_FK50+_SL10+_LV10+_KV10))</f>
        <v>0</v>
      </c>
      <c r="F102" s="425" t="s">
        <v>1057</v>
      </c>
      <c r="G102" s="250">
        <v>2</v>
      </c>
      <c r="H102" s="250"/>
      <c r="I102" s="250">
        <v>12</v>
      </c>
      <c r="J102" s="251" t="str">
        <f>IF(OR(E102&lt;G102,E102&gt;I102),"X","")</f>
        <v>X</v>
      </c>
      <c r="K102" s="273">
        <f t="shared" si="3"/>
        <v>1</v>
      </c>
      <c r="L102" s="344"/>
    </row>
    <row r="103" spans="2:12" s="23" customFormat="1" x14ac:dyDescent="0.25">
      <c r="B103" s="187"/>
      <c r="C103" s="178"/>
      <c r="D103" s="179"/>
      <c r="E103" s="190"/>
      <c r="F103" s="425"/>
      <c r="K103" s="273"/>
      <c r="L103" s="345"/>
    </row>
    <row r="104" spans="2:12" s="23" customFormat="1" ht="13" x14ac:dyDescent="0.25">
      <c r="B104" s="177" t="s">
        <v>551</v>
      </c>
      <c r="C104" s="187"/>
      <c r="D104" s="179"/>
      <c r="E104" s="187"/>
      <c r="F104" s="425"/>
      <c r="K104" s="273"/>
      <c r="L104" s="345"/>
    </row>
    <row r="105" spans="2:12" s="23" customFormat="1" ht="13" x14ac:dyDescent="0.25">
      <c r="B105" s="177"/>
      <c r="C105" s="187"/>
      <c r="D105" s="179"/>
      <c r="E105" s="187"/>
      <c r="F105" s="425"/>
      <c r="K105" s="273"/>
      <c r="L105" s="345"/>
    </row>
    <row r="106" spans="2:12" s="23" customFormat="1" ht="13" x14ac:dyDescent="0.25">
      <c r="B106" s="177" t="s">
        <v>552</v>
      </c>
      <c r="C106" s="187"/>
      <c r="D106" s="179"/>
      <c r="E106" s="187"/>
      <c r="F106" s="425"/>
      <c r="K106" s="273"/>
      <c r="L106" s="345"/>
    </row>
    <row r="107" spans="2:12" s="23" customFormat="1" ht="38" x14ac:dyDescent="0.25">
      <c r="B107" s="177" t="s">
        <v>714</v>
      </c>
      <c r="C107" s="183" t="s">
        <v>183</v>
      </c>
      <c r="D107" s="179" t="str">
        <f>IF(_WAEH=2,"DM/m²/Mt","Euro/m²/Mt")</f>
        <v>Euro/m²/Mt</v>
      </c>
      <c r="E107" s="189">
        <f>IF(_EN10=0,0,_UE01/(12*(_EN10)))</f>
        <v>0</v>
      </c>
      <c r="F107" s="425" t="s">
        <v>1318</v>
      </c>
      <c r="G107" s="22">
        <v>2.5</v>
      </c>
      <c r="H107" s="250"/>
      <c r="I107" s="250">
        <v>12</v>
      </c>
      <c r="J107" s="251" t="str">
        <f t="shared" ref="J107:J119" si="4">IF(OR(E107&lt;G107,E107&gt;I107),"X","")</f>
        <v>X</v>
      </c>
      <c r="K107" s="273">
        <f t="shared" si="3"/>
        <v>1</v>
      </c>
      <c r="L107" s="344"/>
    </row>
    <row r="108" spans="2:12" s="23" customFormat="1" ht="38" x14ac:dyDescent="0.25">
      <c r="B108" s="177" t="s">
        <v>57</v>
      </c>
      <c r="C108" s="183" t="s">
        <v>184</v>
      </c>
      <c r="D108" s="179" t="str">
        <f>IF(_WAEH=2,"DM/m²/Mt","Euro/m²/Mt")</f>
        <v>Euro/m²/Mt</v>
      </c>
      <c r="E108" s="189">
        <f>IF(_EN11=0,0,_UE05/(12*(_EN11)))</f>
        <v>0</v>
      </c>
      <c r="F108" s="425" t="s">
        <v>1318</v>
      </c>
      <c r="G108" s="22">
        <v>2.5</v>
      </c>
      <c r="H108" s="22"/>
      <c r="I108" s="22">
        <v>7</v>
      </c>
      <c r="J108" s="251" t="str">
        <f t="shared" si="4"/>
        <v>X</v>
      </c>
      <c r="K108" s="273">
        <f t="shared" si="3"/>
        <v>1</v>
      </c>
      <c r="L108" s="344"/>
    </row>
    <row r="109" spans="2:12" s="23" customFormat="1" ht="38" x14ac:dyDescent="0.25">
      <c r="B109" s="177" t="s">
        <v>715</v>
      </c>
      <c r="C109" s="183" t="s">
        <v>185</v>
      </c>
      <c r="D109" s="179" t="str">
        <f t="shared" ref="D109:D115" si="5">IF(_WAEH=2,"DM/m²/Mt","Euro/m²/Mt")</f>
        <v>Euro/m²/Mt</v>
      </c>
      <c r="E109" s="189">
        <f>IF(_EN10=0,0,_UE02/(12*(_EN10)))</f>
        <v>0</v>
      </c>
      <c r="F109" s="425" t="s">
        <v>1318</v>
      </c>
      <c r="G109" s="22">
        <v>1</v>
      </c>
      <c r="H109" s="22"/>
      <c r="I109" s="22">
        <v>4</v>
      </c>
      <c r="J109" s="251" t="str">
        <f t="shared" si="4"/>
        <v>X</v>
      </c>
      <c r="K109" s="273">
        <f t="shared" si="3"/>
        <v>1</v>
      </c>
      <c r="L109" s="344"/>
    </row>
    <row r="110" spans="2:12" s="23" customFormat="1" ht="38" x14ac:dyDescent="0.25">
      <c r="B110" s="177" t="s">
        <v>716</v>
      </c>
      <c r="C110" s="183" t="s">
        <v>186</v>
      </c>
      <c r="D110" s="179" t="str">
        <f t="shared" si="5"/>
        <v>Euro/m²/Mt</v>
      </c>
      <c r="E110" s="189">
        <f>IF(_EN10=0,0,_UE03/(12*(_EN11)))</f>
        <v>0</v>
      </c>
      <c r="F110" s="425" t="s">
        <v>1318</v>
      </c>
      <c r="G110" s="22">
        <v>0</v>
      </c>
      <c r="H110" s="22"/>
      <c r="I110" s="22">
        <v>2</v>
      </c>
      <c r="J110" s="251" t="str">
        <f t="shared" si="4"/>
        <v/>
      </c>
      <c r="K110" s="273">
        <f t="shared" si="3"/>
        <v>0</v>
      </c>
      <c r="L110" s="344"/>
    </row>
    <row r="111" spans="2:12" s="23" customFormat="1" ht="38" x14ac:dyDescent="0.25">
      <c r="B111" s="177" t="s">
        <v>717</v>
      </c>
      <c r="C111" s="183" t="s">
        <v>187</v>
      </c>
      <c r="D111" s="179" t="str">
        <f t="shared" si="5"/>
        <v>Euro/m²/Mt</v>
      </c>
      <c r="E111" s="189">
        <f>IF(_EN10=0,0,(_ES11+_ES12+_ES02)/(12*(_EN10)))</f>
        <v>0</v>
      </c>
      <c r="F111" s="425" t="s">
        <v>1318</v>
      </c>
      <c r="G111" s="22">
        <v>0</v>
      </c>
      <c r="H111" s="22"/>
      <c r="I111" s="22">
        <v>3</v>
      </c>
      <c r="J111" s="251" t="str">
        <f t="shared" si="4"/>
        <v/>
      </c>
      <c r="K111" s="273">
        <f t="shared" si="3"/>
        <v>0</v>
      </c>
      <c r="L111" s="344"/>
    </row>
    <row r="112" spans="2:12" s="23" customFormat="1" ht="50.5" x14ac:dyDescent="0.25">
      <c r="B112" s="177" t="s">
        <v>718</v>
      </c>
      <c r="C112" s="183" t="s">
        <v>188</v>
      </c>
      <c r="D112" s="179" t="str">
        <f t="shared" si="5"/>
        <v>Euro/m²/Mt</v>
      </c>
      <c r="E112" s="189">
        <f>IF(_EN10=0,0,(_AM01-_SE07)/(12*(_EN10)))</f>
        <v>0</v>
      </c>
      <c r="F112" s="425" t="s">
        <v>1319</v>
      </c>
      <c r="G112" s="22">
        <v>0</v>
      </c>
      <c r="H112" s="22"/>
      <c r="I112" s="22">
        <v>0.5</v>
      </c>
      <c r="J112" s="251" t="str">
        <f t="shared" si="4"/>
        <v/>
      </c>
      <c r="K112" s="273">
        <f t="shared" si="3"/>
        <v>0</v>
      </c>
      <c r="L112" s="344"/>
    </row>
    <row r="113" spans="2:12" s="23" customFormat="1" ht="67.5" customHeight="1" x14ac:dyDescent="0.25">
      <c r="B113" s="177" t="s">
        <v>719</v>
      </c>
      <c r="C113" s="183" t="s">
        <v>189</v>
      </c>
      <c r="D113" s="179" t="str">
        <f t="shared" si="5"/>
        <v>Euro/m²/Mt</v>
      </c>
      <c r="E113" s="189">
        <f>IF(_EN10=0,0,(_BK01+_GR10)/(12*(_EN10)))</f>
        <v>0</v>
      </c>
      <c r="F113" s="425" t="s">
        <v>1320</v>
      </c>
      <c r="G113" s="22">
        <v>0.2</v>
      </c>
      <c r="H113" s="22"/>
      <c r="I113" s="22">
        <v>2</v>
      </c>
      <c r="J113" s="251" t="str">
        <f t="shared" si="4"/>
        <v>X</v>
      </c>
      <c r="K113" s="273">
        <f t="shared" si="3"/>
        <v>1</v>
      </c>
      <c r="L113" s="344"/>
    </row>
    <row r="114" spans="2:12" s="23" customFormat="1" ht="51.75" customHeight="1" x14ac:dyDescent="0.25">
      <c r="B114" s="177" t="s">
        <v>720</v>
      </c>
      <c r="C114" s="183" t="s">
        <v>480</v>
      </c>
      <c r="D114" s="179" t="str">
        <f t="shared" si="5"/>
        <v>Euro/m²/Mt</v>
      </c>
      <c r="E114" s="189">
        <f>IF(_EN10=0,0,(_BK01+_HK01+_GR10)/(12*(_EN10)))</f>
        <v>0</v>
      </c>
      <c r="F114" s="425" t="s">
        <v>1320</v>
      </c>
      <c r="G114" s="22">
        <v>1</v>
      </c>
      <c r="H114" s="22"/>
      <c r="I114" s="22">
        <v>4</v>
      </c>
      <c r="J114" s="251" t="str">
        <f t="shared" si="4"/>
        <v>X</v>
      </c>
      <c r="K114" s="273">
        <f t="shared" si="3"/>
        <v>1</v>
      </c>
      <c r="L114" s="344"/>
    </row>
    <row r="115" spans="2:12" s="23" customFormat="1" ht="52.5" customHeight="1" x14ac:dyDescent="0.25">
      <c r="B115" s="177" t="s">
        <v>721</v>
      </c>
      <c r="C115" s="183" t="s">
        <v>481</v>
      </c>
      <c r="D115" s="179" t="str">
        <f t="shared" si="5"/>
        <v>Euro/m²/Mt</v>
      </c>
      <c r="E115" s="189">
        <f>IF(_EN10=0,0,(_IK01-_SE03)/(12*(_EN10)))</f>
        <v>0</v>
      </c>
      <c r="F115" s="425" t="s">
        <v>1319</v>
      </c>
      <c r="G115" s="22">
        <v>0</v>
      </c>
      <c r="H115" s="22"/>
      <c r="I115" s="22">
        <v>3</v>
      </c>
      <c r="J115" s="251" t="str">
        <f t="shared" si="4"/>
        <v/>
      </c>
      <c r="K115" s="273">
        <f t="shared" si="3"/>
        <v>0</v>
      </c>
      <c r="L115" s="344"/>
    </row>
    <row r="116" spans="2:12" s="23" customFormat="1" ht="51" x14ac:dyDescent="0.25">
      <c r="B116" s="177" t="s">
        <v>722</v>
      </c>
      <c r="C116" s="183" t="s">
        <v>482</v>
      </c>
      <c r="D116" s="179" t="str">
        <f t="shared" ref="D116:D121" si="6">IF(_WAEH=2,"DM/m²/Mt","Euro/m²")</f>
        <v>Euro/m²</v>
      </c>
      <c r="E116" s="189">
        <f>IF(_EN10=0,0,(_IK01-_SE03)/(_EN10))</f>
        <v>0</v>
      </c>
      <c r="F116" s="425" t="s">
        <v>1319</v>
      </c>
      <c r="G116" s="22">
        <f>G115*12</f>
        <v>0</v>
      </c>
      <c r="H116" s="22"/>
      <c r="I116" s="22">
        <f>I115*12</f>
        <v>36</v>
      </c>
      <c r="J116" s="251" t="str">
        <f t="shared" si="4"/>
        <v/>
      </c>
      <c r="K116" s="273">
        <f t="shared" si="3"/>
        <v>0</v>
      </c>
      <c r="L116" s="344"/>
    </row>
    <row r="117" spans="2:12" s="23" customFormat="1" ht="38" x14ac:dyDescent="0.25">
      <c r="B117" s="177" t="s">
        <v>58</v>
      </c>
      <c r="C117" s="183" t="s">
        <v>483</v>
      </c>
      <c r="D117" s="179" t="str">
        <f t="shared" si="6"/>
        <v>Euro/m²</v>
      </c>
      <c r="E117" s="185">
        <f>IF(_AV15=0,0,(_AV15+_AV16)/_EN10)</f>
        <v>0</v>
      </c>
      <c r="F117" s="425" t="s">
        <v>1321</v>
      </c>
      <c r="G117" s="250">
        <v>50</v>
      </c>
      <c r="H117" s="250"/>
      <c r="I117" s="250">
        <v>1500</v>
      </c>
      <c r="J117" s="251" t="str">
        <f t="shared" si="4"/>
        <v>X</v>
      </c>
      <c r="K117" s="273">
        <f t="shared" si="3"/>
        <v>1</v>
      </c>
      <c r="L117" s="344"/>
    </row>
    <row r="118" spans="2:12" s="23" customFormat="1" ht="38" x14ac:dyDescent="0.25">
      <c r="B118" s="177" t="s">
        <v>59</v>
      </c>
      <c r="C118" s="183" t="s">
        <v>191</v>
      </c>
      <c r="D118" s="179" t="str">
        <f t="shared" si="6"/>
        <v>Euro/m²</v>
      </c>
      <c r="E118" s="185" t="e">
        <f>IF(_FK10="",0,(_FK10+_SL10)/_EN10)</f>
        <v>#DIV/0!</v>
      </c>
      <c r="F118" s="425" t="s">
        <v>1322</v>
      </c>
      <c r="G118" s="250">
        <v>0</v>
      </c>
      <c r="H118" s="250"/>
      <c r="I118" s="250">
        <v>1200</v>
      </c>
      <c r="J118" s="251" t="e">
        <f t="shared" si="4"/>
        <v>#DIV/0!</v>
      </c>
      <c r="K118" s="273" t="e">
        <f t="shared" si="3"/>
        <v>#DIV/0!</v>
      </c>
      <c r="L118" s="344"/>
    </row>
    <row r="119" spans="2:12" s="23" customFormat="1" ht="25.5" x14ac:dyDescent="0.25">
      <c r="B119" s="177" t="s">
        <v>615</v>
      </c>
      <c r="C119" s="183" t="s">
        <v>192</v>
      </c>
      <c r="D119" s="179" t="str">
        <f t="shared" si="6"/>
        <v>Euro/m²</v>
      </c>
      <c r="E119" s="185" t="e">
        <f>IF(_FK10="",0,(_FK10+_FK50+_SL10+_LV10+_KV10)/_EN10)</f>
        <v>#DIV/0!</v>
      </c>
      <c r="F119" s="425" t="s">
        <v>1322</v>
      </c>
      <c r="G119" s="250">
        <v>0</v>
      </c>
      <c r="H119" s="250"/>
      <c r="I119" s="250">
        <v>1250</v>
      </c>
      <c r="J119" s="251" t="e">
        <f t="shared" si="4"/>
        <v>#DIV/0!</v>
      </c>
      <c r="K119" s="273" t="e">
        <f t="shared" si="3"/>
        <v>#DIV/0!</v>
      </c>
      <c r="L119" s="344"/>
    </row>
    <row r="120" spans="2:12" s="23" customFormat="1" ht="25.5" x14ac:dyDescent="0.25">
      <c r="B120" s="177" t="s">
        <v>1230</v>
      </c>
      <c r="C120" s="183" t="s">
        <v>190</v>
      </c>
      <c r="D120" s="179" t="str">
        <f t="shared" si="6"/>
        <v>Euro/m²</v>
      </c>
      <c r="E120" s="185">
        <f>IF(_AV15=0,0,(_AV15)/_EN10)</f>
        <v>0</v>
      </c>
      <c r="F120" s="425" t="s">
        <v>1321</v>
      </c>
      <c r="K120" s="273">
        <f>IF(J120="X",1,0)</f>
        <v>0</v>
      </c>
      <c r="L120" s="344"/>
    </row>
    <row r="121" spans="2:12" s="23" customFormat="1" ht="25.5" x14ac:dyDescent="0.25">
      <c r="B121" s="177" t="s">
        <v>1896</v>
      </c>
      <c r="C121" s="183" t="s">
        <v>1897</v>
      </c>
      <c r="D121" s="179" t="str">
        <f t="shared" si="6"/>
        <v>Euro/m²</v>
      </c>
      <c r="E121" s="185" t="e">
        <f>IF((_IK01+_AV12)/(_EN10)=0,0,(_IK01+_AV12)/(_EN10))</f>
        <v>#DIV/0!</v>
      </c>
      <c r="F121" s="425" t="s">
        <v>1321</v>
      </c>
      <c r="K121" s="460"/>
      <c r="L121" s="344"/>
    </row>
    <row r="122" spans="2:12" s="23" customFormat="1" x14ac:dyDescent="0.25">
      <c r="B122" s="187"/>
      <c r="C122" s="178"/>
      <c r="D122" s="179"/>
      <c r="E122" s="190"/>
      <c r="F122" s="425"/>
      <c r="K122" s="273"/>
      <c r="L122" s="345"/>
    </row>
    <row r="123" spans="2:12" s="23" customFormat="1" ht="13" x14ac:dyDescent="0.25">
      <c r="B123" s="177" t="s">
        <v>49</v>
      </c>
      <c r="C123" s="187"/>
      <c r="D123" s="179"/>
      <c r="E123" s="187"/>
      <c r="F123" s="425"/>
      <c r="K123" s="273"/>
      <c r="L123" s="345"/>
    </row>
    <row r="124" spans="2:12" s="23" customFormat="1" ht="50.5" x14ac:dyDescent="0.25">
      <c r="B124" s="177" t="s">
        <v>723</v>
      </c>
      <c r="C124" s="183" t="s">
        <v>3</v>
      </c>
      <c r="D124" s="179" t="s">
        <v>548</v>
      </c>
      <c r="E124" s="426" t="str">
        <f>_MW10</f>
        <v/>
      </c>
      <c r="F124" s="425" t="s">
        <v>1323</v>
      </c>
      <c r="G124" s="250">
        <v>0</v>
      </c>
      <c r="H124" s="250"/>
      <c r="I124" s="250">
        <v>25</v>
      </c>
      <c r="J124" s="251" t="str">
        <f>IF(OR(E124&lt;G124,E124&gt;I124),"X","")</f>
        <v>X</v>
      </c>
      <c r="K124" s="273">
        <f t="shared" si="3"/>
        <v>1</v>
      </c>
      <c r="L124" s="344"/>
    </row>
    <row r="125" spans="2:12" s="23" customFormat="1" ht="39" customHeight="1" x14ac:dyDescent="0.25">
      <c r="B125" s="177" t="s">
        <v>60</v>
      </c>
      <c r="C125" s="183" t="s">
        <v>1184</v>
      </c>
      <c r="D125" s="193" t="s">
        <v>548</v>
      </c>
      <c r="E125" s="185" t="e">
        <f>IF(AND(_MW10=0,_MW11=0),0,_MW11*100/_MW10)</f>
        <v>#VALUE!</v>
      </c>
      <c r="F125" s="425" t="s">
        <v>1323</v>
      </c>
      <c r="G125" s="22">
        <v>0</v>
      </c>
      <c r="H125" s="22"/>
      <c r="I125" s="22">
        <v>200</v>
      </c>
      <c r="J125" s="251" t="e">
        <f>IF(OR(E125&lt;G125,E125&gt;I125),"X","")</f>
        <v>#VALUE!</v>
      </c>
      <c r="K125" s="273" t="e">
        <f t="shared" si="3"/>
        <v>#VALUE!</v>
      </c>
      <c r="L125" s="344"/>
    </row>
    <row r="126" spans="2:12" s="23" customFormat="1" ht="39.75" customHeight="1" x14ac:dyDescent="0.25">
      <c r="B126" s="177" t="s">
        <v>724</v>
      </c>
      <c r="C126" s="183" t="s">
        <v>4</v>
      </c>
      <c r="D126" s="179" t="s">
        <v>548</v>
      </c>
      <c r="E126" s="190" t="str">
        <f>_LW10</f>
        <v/>
      </c>
      <c r="F126" s="425" t="s">
        <v>1323</v>
      </c>
      <c r="G126" s="22">
        <v>0</v>
      </c>
      <c r="H126" s="22"/>
      <c r="I126" s="22">
        <v>50</v>
      </c>
      <c r="J126" s="251" t="str">
        <f>IF(OR(E126&lt;G126,E126&gt;I126),"X","")</f>
        <v>X</v>
      </c>
      <c r="K126" s="273">
        <f t="shared" si="3"/>
        <v>1</v>
      </c>
      <c r="L126" s="344"/>
    </row>
    <row r="127" spans="2:12" s="23" customFormat="1" ht="50.5" x14ac:dyDescent="0.25">
      <c r="B127" s="177" t="s">
        <v>725</v>
      </c>
      <c r="C127" s="183" t="s">
        <v>518</v>
      </c>
      <c r="D127" s="179" t="s">
        <v>548</v>
      </c>
      <c r="E127" s="190" t="str">
        <f>_LW05</f>
        <v/>
      </c>
      <c r="F127" s="425" t="s">
        <v>1323</v>
      </c>
      <c r="L127" s="344"/>
    </row>
    <row r="128" spans="2:12" s="23" customFormat="1" ht="50.5" x14ac:dyDescent="0.25">
      <c r="B128" s="177" t="s">
        <v>351</v>
      </c>
      <c r="C128" s="183" t="s">
        <v>517</v>
      </c>
      <c r="D128" s="179" t="s">
        <v>548</v>
      </c>
      <c r="E128" s="190" t="str">
        <f>_LW06</f>
        <v/>
      </c>
      <c r="F128" s="425" t="s">
        <v>1323</v>
      </c>
      <c r="L128" s="344"/>
    </row>
    <row r="129" spans="2:12" s="23" customFormat="1" ht="50.5" x14ac:dyDescent="0.25">
      <c r="B129" s="177" t="s">
        <v>352</v>
      </c>
      <c r="C129" s="183" t="s">
        <v>519</v>
      </c>
      <c r="D129" s="179" t="s">
        <v>548</v>
      </c>
      <c r="E129" s="190" t="str">
        <f>_LW07</f>
        <v/>
      </c>
      <c r="F129" s="425" t="s">
        <v>1323</v>
      </c>
      <c r="L129" s="344"/>
    </row>
    <row r="130" spans="2:12" s="23" customFormat="1" ht="63.5" x14ac:dyDescent="0.25">
      <c r="B130" s="177" t="s">
        <v>353</v>
      </c>
      <c r="C130" s="183" t="s">
        <v>520</v>
      </c>
      <c r="D130" s="179" t="s">
        <v>548</v>
      </c>
      <c r="E130" s="190" t="str">
        <f>_LW08</f>
        <v/>
      </c>
      <c r="F130" s="425" t="s">
        <v>1323</v>
      </c>
      <c r="L130" s="344"/>
    </row>
    <row r="131" spans="2:12" s="23" customFormat="1" ht="50.5" x14ac:dyDescent="0.25">
      <c r="B131" s="177" t="s">
        <v>66</v>
      </c>
      <c r="C131" s="183" t="s">
        <v>521</v>
      </c>
      <c r="D131" s="179" t="s">
        <v>548</v>
      </c>
      <c r="E131" s="190" t="str">
        <f>_LW09</f>
        <v/>
      </c>
      <c r="F131" s="425" t="s">
        <v>1323</v>
      </c>
      <c r="L131" s="344"/>
    </row>
    <row r="132" spans="2:12" s="23" customFormat="1" x14ac:dyDescent="0.25">
      <c r="B132" s="187"/>
      <c r="C132" s="178"/>
      <c r="D132" s="179"/>
      <c r="E132" s="190"/>
      <c r="F132" s="425"/>
      <c r="L132" s="345"/>
    </row>
    <row r="133" spans="2:12" s="23" customFormat="1" ht="15.5" x14ac:dyDescent="0.25">
      <c r="B133" s="482" t="s">
        <v>815</v>
      </c>
      <c r="C133" s="482"/>
      <c r="D133" s="482"/>
      <c r="E133" s="482"/>
      <c r="F133" s="425"/>
      <c r="L133" s="345"/>
    </row>
    <row r="134" spans="2:12" s="23" customFormat="1" x14ac:dyDescent="0.25">
      <c r="B134" s="427" t="s">
        <v>847</v>
      </c>
      <c r="C134" s="178"/>
      <c r="D134" s="179"/>
      <c r="E134" s="190"/>
      <c r="F134" s="425"/>
      <c r="L134" s="345"/>
    </row>
    <row r="135" spans="2:12" s="23" customFormat="1" ht="13" x14ac:dyDescent="0.25">
      <c r="B135" s="177" t="s">
        <v>553</v>
      </c>
      <c r="C135" s="187"/>
      <c r="D135" s="179"/>
      <c r="E135" s="187"/>
      <c r="F135" s="425"/>
      <c r="L135" s="345"/>
    </row>
    <row r="136" spans="2:12" s="23" customFormat="1" ht="13" x14ac:dyDescent="0.25">
      <c r="B136" s="177"/>
      <c r="C136" s="187"/>
      <c r="D136" s="179"/>
      <c r="E136" s="187"/>
      <c r="F136" s="425"/>
      <c r="L136" s="345"/>
    </row>
    <row r="137" spans="2:12" s="23" customFormat="1" ht="13" x14ac:dyDescent="0.25">
      <c r="B137" s="177" t="s">
        <v>487</v>
      </c>
      <c r="C137" s="187"/>
      <c r="D137" s="179"/>
      <c r="E137" s="187"/>
      <c r="F137" s="425"/>
      <c r="L137" s="345"/>
    </row>
    <row r="138" spans="2:12" s="23" customFormat="1" ht="50.5" x14ac:dyDescent="0.25">
      <c r="B138" s="177" t="s">
        <v>967</v>
      </c>
      <c r="C138" s="183" t="s">
        <v>1261</v>
      </c>
      <c r="D138" s="179" t="str">
        <f t="shared" ref="D138:D146" si="7">IF(_WAEH=2,"DM/m²/Mt","Euro/m²/Mt")</f>
        <v>Euro/m²/Mt</v>
      </c>
      <c r="E138" s="190" t="str">
        <f>IF(_TEIL="I und II",IF(_EN10=0,0,(_ES11+_ES12+_ES02)/(12*_EN10)),"")</f>
        <v/>
      </c>
      <c r="F138" s="425" t="s">
        <v>1318</v>
      </c>
      <c r="L138" s="344"/>
    </row>
    <row r="139" spans="2:12" s="23" customFormat="1" ht="38" x14ac:dyDescent="0.25">
      <c r="B139" s="177" t="s">
        <v>968</v>
      </c>
      <c r="C139" s="183" t="s">
        <v>522</v>
      </c>
      <c r="D139" s="179" t="str">
        <f t="shared" si="7"/>
        <v>Euro/m²/Mt</v>
      </c>
      <c r="E139" s="190" t="str">
        <f>IF(_TEIL="I und II",IF(_EN10=0,0,_AM01/(12*_EN10)),"")</f>
        <v/>
      </c>
      <c r="F139" s="425" t="s">
        <v>1318</v>
      </c>
      <c r="L139" s="344"/>
    </row>
    <row r="140" spans="2:12" s="23" customFormat="1" ht="65.25" customHeight="1" x14ac:dyDescent="0.25">
      <c r="B140" s="177" t="s">
        <v>969</v>
      </c>
      <c r="C140" s="183" t="s">
        <v>488</v>
      </c>
      <c r="D140" s="179" t="str">
        <f t="shared" si="7"/>
        <v>Euro/m²/Mt</v>
      </c>
      <c r="E140" s="190" t="str">
        <f>IF(_TEIL="I und II",IF(_EN10=0,0,(_IK01+_BA21-_SE03)/(12*_EN10)),"")</f>
        <v/>
      </c>
      <c r="F140" s="425" t="s">
        <v>1324</v>
      </c>
      <c r="L140" s="344"/>
    </row>
    <row r="141" spans="2:12" s="23" customFormat="1" ht="65.25" customHeight="1" x14ac:dyDescent="0.25">
      <c r="B141" s="177" t="s">
        <v>656</v>
      </c>
      <c r="C141" s="183" t="s">
        <v>1185</v>
      </c>
      <c r="D141" s="179" t="str">
        <f>IF(_WAEH=2,"DM/m²","Euro/m²")</f>
        <v>Euro/m²</v>
      </c>
      <c r="E141" s="190" t="str">
        <f>IF(_TEIL="I und II",IF(_EN10=0,0,(_IK01+_BA21-_SE03)/(_EN10)),"")</f>
        <v/>
      </c>
      <c r="F141" s="425" t="s">
        <v>1324</v>
      </c>
      <c r="L141" s="344"/>
    </row>
    <row r="142" spans="2:12" s="23" customFormat="1" ht="63.5" x14ac:dyDescent="0.25">
      <c r="B142" s="177" t="s">
        <v>970</v>
      </c>
      <c r="C142" s="183" t="s">
        <v>489</v>
      </c>
      <c r="D142" s="179" t="str">
        <f t="shared" si="7"/>
        <v>Euro/m²/Mt</v>
      </c>
      <c r="E142" s="190" t="str">
        <f>IF(_TEIL="I und II",IF(_EN10=0,0,_AH01/(12*_EN10)),"")</f>
        <v/>
      </c>
      <c r="F142" s="425" t="s">
        <v>1325</v>
      </c>
      <c r="L142" s="344"/>
    </row>
    <row r="143" spans="2:12" s="23" customFormat="1" ht="50.5" x14ac:dyDescent="0.25">
      <c r="B143" s="177" t="s">
        <v>971</v>
      </c>
      <c r="C143" s="183" t="s">
        <v>490</v>
      </c>
      <c r="D143" s="179" t="str">
        <f t="shared" si="7"/>
        <v>Euro/m²/Mt</v>
      </c>
      <c r="E143" s="190" t="str">
        <f>IF(_TEIL="I und II",IF(_EN10=0,0,(_ZH10+_EZ01)/(12*_EN10)),"")</f>
        <v/>
      </c>
      <c r="F143" s="425" t="s">
        <v>1326</v>
      </c>
      <c r="L143" s="344"/>
    </row>
    <row r="144" spans="2:12" s="23" customFormat="1" ht="50.5" x14ac:dyDescent="0.25">
      <c r="B144" s="177" t="s">
        <v>972</v>
      </c>
      <c r="C144" s="183" t="s">
        <v>491</v>
      </c>
      <c r="D144" s="179" t="str">
        <f t="shared" si="7"/>
        <v>Euro/m²/Mt</v>
      </c>
      <c r="E144" s="190" t="str">
        <f>IF(_TEIL="I und II",IF(_EN10=0,0,_BA14/(12*_EN10)),"")</f>
        <v/>
      </c>
      <c r="F144" s="425" t="s">
        <v>1327</v>
      </c>
      <c r="L144" s="344"/>
    </row>
    <row r="145" spans="2:12" s="23" customFormat="1" ht="38" x14ac:dyDescent="0.25">
      <c r="B145" s="177" t="s">
        <v>973</v>
      </c>
      <c r="C145" s="183" t="s">
        <v>1186</v>
      </c>
      <c r="D145" s="179" t="str">
        <f t="shared" si="7"/>
        <v>Euro/m²/Mt</v>
      </c>
      <c r="E145" s="190" t="str">
        <f>IF(_TEIL="I und II",IF(_EN10=0,0,(_UE10-_UE04+_BV10+_SE03+_SE07+_SE09-_AH10+_PA01-_BA22-_BA23-_BA21-_AH01-_AM01-_XX60-_ZH10-_GR10-_BA14)/(12*_EN10)),"")</f>
        <v/>
      </c>
      <c r="F145" s="425" t="s">
        <v>1328</v>
      </c>
      <c r="L145" s="344"/>
    </row>
    <row r="146" spans="2:12" s="23" customFormat="1" ht="38" x14ac:dyDescent="0.25">
      <c r="B146" s="177" t="s">
        <v>974</v>
      </c>
      <c r="C146" s="183" t="s">
        <v>1187</v>
      </c>
      <c r="D146" s="179" t="str">
        <f t="shared" si="7"/>
        <v>Euro/m²/Mt</v>
      </c>
      <c r="E146" s="190" t="str">
        <f>IF(_TEIL="I und II",IF(_EN10=0,0,(_UE10-_UE04+_BV10+_SE03+_SE07+_SE09-_AH10+_PA01-_BA22-_BA23-_BA21-_TI10-_AM01-_XX60-_ZH10-_GR10-_BA14)/(12*_EN10)),"")</f>
        <v/>
      </c>
      <c r="F146" s="425" t="s">
        <v>1328</v>
      </c>
      <c r="L146" s="344"/>
    </row>
    <row r="147" spans="2:12" s="23" customFormat="1" x14ac:dyDescent="0.25">
      <c r="B147" s="187"/>
      <c r="C147" s="178"/>
      <c r="D147" s="179"/>
      <c r="E147" s="190"/>
      <c r="F147" s="425"/>
      <c r="L147" s="345"/>
    </row>
    <row r="148" spans="2:12" s="23" customFormat="1" ht="13" x14ac:dyDescent="0.25">
      <c r="B148" s="177" t="s">
        <v>1192</v>
      </c>
      <c r="C148" s="187"/>
      <c r="D148" s="179"/>
      <c r="E148" s="187"/>
      <c r="F148" s="425"/>
      <c r="J148" s="24"/>
      <c r="L148" s="345"/>
    </row>
    <row r="149" spans="2:12" s="23" customFormat="1" ht="38" x14ac:dyDescent="0.25">
      <c r="B149" s="177" t="s">
        <v>726</v>
      </c>
      <c r="C149" s="183" t="s">
        <v>1293</v>
      </c>
      <c r="D149" s="179" t="s">
        <v>548</v>
      </c>
      <c r="E149" s="190" t="str">
        <f>IF(_TEIL="I und II",IF(_UE01=0,0,(_ES11+_ES12+_ES02)*100/(_UE01+_UE02)),"")</f>
        <v/>
      </c>
      <c r="F149" s="425" t="s">
        <v>1329</v>
      </c>
      <c r="L149" s="344"/>
    </row>
    <row r="150" spans="2:12" s="23" customFormat="1" ht="63" x14ac:dyDescent="0.25">
      <c r="B150" s="177" t="s">
        <v>727</v>
      </c>
      <c r="C150" s="183" t="s">
        <v>523</v>
      </c>
      <c r="D150" s="179" t="s">
        <v>548</v>
      </c>
      <c r="E150" s="190" t="str">
        <f>IF(_TEIL="I und II",IF(_UE01=0,0,(_ES12)*100/_UE01),"")</f>
        <v/>
      </c>
      <c r="F150" s="425" t="s">
        <v>1329</v>
      </c>
      <c r="L150" s="344"/>
    </row>
    <row r="151" spans="2:12" s="23" customFormat="1" ht="39.75" customHeight="1" x14ac:dyDescent="0.25">
      <c r="B151" s="177" t="s">
        <v>728</v>
      </c>
      <c r="C151" s="183" t="s">
        <v>524</v>
      </c>
      <c r="D151" s="179" t="s">
        <v>548</v>
      </c>
      <c r="E151" s="190" t="str">
        <f>IF(_TEIL="I und II",IF(_UE01=0,0,(_AM01)*100/_UE01),"")</f>
        <v/>
      </c>
      <c r="F151" s="425" t="s">
        <v>1330</v>
      </c>
      <c r="L151" s="344"/>
    </row>
    <row r="152" spans="2:12" s="23" customFormat="1" ht="50.5" x14ac:dyDescent="0.25">
      <c r="B152" s="177" t="s">
        <v>729</v>
      </c>
      <c r="C152" s="183" t="s">
        <v>1188</v>
      </c>
      <c r="D152" s="179" t="s">
        <v>548</v>
      </c>
      <c r="E152" s="190" t="str">
        <f>IF(_TEIL="I und II",IF(_UE01=0,0,(_IK01+_IK02-_SE03)*100/_UE01),"")</f>
        <v/>
      </c>
      <c r="F152" s="425" t="s">
        <v>1331</v>
      </c>
      <c r="L152" s="344"/>
    </row>
    <row r="153" spans="2:12" s="23" customFormat="1" ht="50.5" x14ac:dyDescent="0.25">
      <c r="B153" s="177" t="s">
        <v>730</v>
      </c>
      <c r="C153" s="183" t="s">
        <v>1189</v>
      </c>
      <c r="D153" s="179" t="s">
        <v>548</v>
      </c>
      <c r="E153" s="190" t="str">
        <f>IF(_TEIL="I und II",IF(_UE01=0,0,(_AH01)*100/_UE01),"")</f>
        <v/>
      </c>
      <c r="F153" s="425" t="s">
        <v>1330</v>
      </c>
      <c r="L153" s="344"/>
    </row>
    <row r="154" spans="2:12" s="23" customFormat="1" ht="38" x14ac:dyDescent="0.25">
      <c r="B154" s="177" t="s">
        <v>30</v>
      </c>
      <c r="C154" s="183" t="s">
        <v>1190</v>
      </c>
      <c r="D154" s="193" t="s">
        <v>548</v>
      </c>
      <c r="E154" s="428" t="str">
        <f>IF(_TEIL="I und II",IF(_UE01=0,0,(_AH01)*100/_AV15),"")</f>
        <v/>
      </c>
      <c r="F154" s="425" t="s">
        <v>1052</v>
      </c>
      <c r="G154" s="23">
        <v>1</v>
      </c>
      <c r="I154" s="23">
        <v>8</v>
      </c>
      <c r="J154" s="251" t="str">
        <f>IF(OR(E154&lt;G154,E154&gt;I154),"X","")</f>
        <v>X</v>
      </c>
      <c r="K154" s="273">
        <f>IF((J154="X"),1,0)</f>
        <v>1</v>
      </c>
      <c r="L154" s="344"/>
    </row>
    <row r="155" spans="2:12" s="23" customFormat="1" ht="38" x14ac:dyDescent="0.25">
      <c r="B155" s="177" t="s">
        <v>731</v>
      </c>
      <c r="C155" s="183" t="s">
        <v>492</v>
      </c>
      <c r="D155" s="179" t="s">
        <v>548</v>
      </c>
      <c r="E155" s="190" t="str">
        <f>IF(_TEIL="I und II",IF(_UE01=0,0,(_ZH10+_EZ01)*100/_UE01),"")</f>
        <v/>
      </c>
      <c r="F155" s="425" t="s">
        <v>1332</v>
      </c>
      <c r="L155" s="344"/>
    </row>
    <row r="156" spans="2:12" s="23" customFormat="1" ht="38" x14ac:dyDescent="0.25">
      <c r="B156" s="177" t="s">
        <v>61</v>
      </c>
      <c r="C156" s="183" t="s">
        <v>493</v>
      </c>
      <c r="D156" s="193" t="s">
        <v>548</v>
      </c>
      <c r="E156" s="185" t="str">
        <f>IF(_UE01=0,"",(_ZH10+_TI10+_EZ01)*100/(_UE01+_UE03))</f>
        <v/>
      </c>
      <c r="F156" s="425" t="s">
        <v>1333</v>
      </c>
      <c r="L156" s="344"/>
    </row>
    <row r="157" spans="2:12" s="23" customFormat="1" ht="38" x14ac:dyDescent="0.25">
      <c r="B157" s="177" t="s">
        <v>732</v>
      </c>
      <c r="C157" s="183" t="s">
        <v>494</v>
      </c>
      <c r="D157" s="179" t="s">
        <v>548</v>
      </c>
      <c r="E157" s="190" t="str">
        <f>IF(_TEIL="I und II",IF(_UE01=0,0,(_BA14)*100/_UE01),"")</f>
        <v/>
      </c>
      <c r="F157" s="425" t="s">
        <v>1334</v>
      </c>
      <c r="L157" s="344"/>
    </row>
    <row r="158" spans="2:12" s="23" customFormat="1" ht="38" x14ac:dyDescent="0.25">
      <c r="B158" s="177" t="s">
        <v>733</v>
      </c>
      <c r="C158" s="183" t="s">
        <v>1191</v>
      </c>
      <c r="D158" s="179" t="s">
        <v>548</v>
      </c>
      <c r="E158" s="190" t="str">
        <f>IF(_TEIL="I und II",IF(_EN10=0,0,(_UE10-_UE04+_BV10+_SE03+_SE07+_SE09-_AH10+_PA01-_BA22-_BA23-_BA21-_AH01-_AM01-_XX60-_ZH10-_GR10-_BA14)*100/(_UE01+_UE03)),"")</f>
        <v/>
      </c>
      <c r="F158" s="425" t="s">
        <v>1328</v>
      </c>
      <c r="L158" s="344"/>
    </row>
    <row r="159" spans="2:12" s="23" customFormat="1" ht="38" x14ac:dyDescent="0.25">
      <c r="B159" s="177" t="s">
        <v>734</v>
      </c>
      <c r="C159" s="183" t="s">
        <v>525</v>
      </c>
      <c r="D159" s="179" t="s">
        <v>548</v>
      </c>
      <c r="E159" s="190" t="str">
        <f>IF(_TEIL="I und II",IF(_EN10=0,0,(_UE10-_UE04+_BV10+_SE03+_SE07+_SE09-_AH10+_PA01-_BA22-_BA23-_BA21-_TI10-_AM01-_XX60-_ZH10-_GR10-_BA14)*100/(_UE01+_UE03)),"")</f>
        <v/>
      </c>
      <c r="F159" s="425" t="s">
        <v>1328</v>
      </c>
      <c r="L159" s="344"/>
    </row>
    <row r="160" spans="2:12" s="23" customFormat="1" ht="39.75" customHeight="1" x14ac:dyDescent="0.25">
      <c r="B160" s="177" t="s">
        <v>62</v>
      </c>
      <c r="C160" s="183" t="s">
        <v>495</v>
      </c>
      <c r="D160" s="193" t="s">
        <v>548</v>
      </c>
      <c r="E160" s="185" t="str">
        <f>IF(_UE01=0,"",(_ZH10+_EZ01)*100/(_UE01+_UE03-_ES11-_ES12))</f>
        <v/>
      </c>
      <c r="F160" s="425" t="s">
        <v>1332</v>
      </c>
      <c r="L160" s="344"/>
    </row>
    <row r="161" spans="2:13" s="23" customFormat="1" ht="38" x14ac:dyDescent="0.25">
      <c r="B161" s="177" t="s">
        <v>63</v>
      </c>
      <c r="C161" s="183" t="s">
        <v>496</v>
      </c>
      <c r="D161" s="193" t="s">
        <v>548</v>
      </c>
      <c r="E161" s="185" t="str">
        <f>IF(_UE01=0,"",(_ZH10+_TI10+_EZ01)*100/(_UE01+_UE03-_ES11-_ES12))</f>
        <v/>
      </c>
      <c r="F161" s="425" t="s">
        <v>1332</v>
      </c>
      <c r="L161" s="344"/>
    </row>
    <row r="162" spans="2:13" s="23" customFormat="1" ht="38" x14ac:dyDescent="0.25">
      <c r="B162" s="429" t="s">
        <v>31</v>
      </c>
      <c r="C162" s="183" t="s">
        <v>1254</v>
      </c>
      <c r="D162" s="193" t="s">
        <v>548</v>
      </c>
      <c r="E162" s="185" t="str">
        <f>IF(_UE01="","",(_UE01+_UE03-_ES11-_ES12)*100/(_AV15+_AV16))</f>
        <v/>
      </c>
      <c r="F162" s="425" t="s">
        <v>1335</v>
      </c>
      <c r="L162" s="344"/>
    </row>
    <row r="163" spans="2:13" s="23" customFormat="1" ht="38" x14ac:dyDescent="0.25">
      <c r="B163" s="429" t="s">
        <v>616</v>
      </c>
      <c r="C163" s="183" t="s">
        <v>1255</v>
      </c>
      <c r="D163" s="193" t="s">
        <v>1136</v>
      </c>
      <c r="E163" s="185" t="str">
        <f>IF(_UE01="","",(_AV15+_AV16)/(_UE01+_UE03-_ES11-_ES12))</f>
        <v/>
      </c>
      <c r="F163" s="425" t="s">
        <v>1335</v>
      </c>
      <c r="L163" s="344"/>
    </row>
    <row r="164" spans="2:13" s="23" customFormat="1" x14ac:dyDescent="0.25">
      <c r="B164" s="187"/>
      <c r="C164" s="178"/>
      <c r="D164" s="179"/>
      <c r="E164" s="190"/>
      <c r="F164" s="425"/>
      <c r="L164" s="345"/>
    </row>
    <row r="165" spans="2:13" s="23" customFormat="1" ht="13" x14ac:dyDescent="0.25">
      <c r="B165" s="177" t="s">
        <v>554</v>
      </c>
      <c r="C165" s="187"/>
      <c r="D165" s="179"/>
      <c r="E165" s="187"/>
      <c r="F165" s="425"/>
      <c r="L165" s="345"/>
    </row>
    <row r="166" spans="2:13" s="23" customFormat="1" ht="67.5" customHeight="1" x14ac:dyDescent="0.25">
      <c r="B166" s="177" t="s">
        <v>735</v>
      </c>
      <c r="C166" s="183" t="s">
        <v>526</v>
      </c>
      <c r="D166" s="187" t="str">
        <f t="shared" ref="D166:D171" si="8">IF(_WAEH=2,"DM/Mitarb.","Euro/Mitarb.")</f>
        <v>Euro/Mitarb.</v>
      </c>
      <c r="E166" s="430" t="str">
        <f>IF(_TEIL="I und II",IF((_PB10-_PB04-_PB05)=0,0,(_LG10-_LG20-_LG09-_BA34)/(_PB10-_PB04-_PB05)),"")</f>
        <v/>
      </c>
      <c r="F166" s="425" t="s">
        <v>1336</v>
      </c>
      <c r="L166" s="344"/>
    </row>
    <row r="167" spans="2:13" s="223" customFormat="1" ht="38" x14ac:dyDescent="0.25">
      <c r="B167" s="177" t="s">
        <v>780</v>
      </c>
      <c r="C167" s="183" t="s">
        <v>497</v>
      </c>
      <c r="D167" s="431" t="str">
        <f t="shared" si="8"/>
        <v>Euro/Mitarb.</v>
      </c>
      <c r="E167" s="182" t="str">
        <f>IF(_TEIL="I und II",IF((_PB10)=0,0,(_LG10-_BA34)/(_PB10)),"")</f>
        <v/>
      </c>
      <c r="F167" s="425" t="s">
        <v>1336</v>
      </c>
      <c r="L167" s="347"/>
    </row>
    <row r="168" spans="2:13" s="223" customFormat="1" ht="38" x14ac:dyDescent="0.25">
      <c r="B168" s="177" t="s">
        <v>783</v>
      </c>
      <c r="C168" s="183" t="s">
        <v>498</v>
      </c>
      <c r="D168" s="431" t="str">
        <f t="shared" si="8"/>
        <v>Euro/Mitarb.</v>
      </c>
      <c r="E168" s="182" t="str">
        <f>IF(_TEIL="I und II",IF((_PB10)=0,0,(_UE10+_UE20+_UE30+_UE40)/(_PB10)),"")</f>
        <v/>
      </c>
      <c r="F168" s="425" t="s">
        <v>1334</v>
      </c>
      <c r="L168" s="347"/>
    </row>
    <row r="169" spans="2:13" s="23" customFormat="1" ht="38" x14ac:dyDescent="0.25">
      <c r="B169" s="177" t="s">
        <v>736</v>
      </c>
      <c r="C169" s="183" t="s">
        <v>2</v>
      </c>
      <c r="D169" s="187" t="str">
        <f t="shared" si="8"/>
        <v>Euro/Mitarb.</v>
      </c>
      <c r="E169" s="430" t="str">
        <f>IF(_TEIL="I und II",IF((_PB10-_PB04-_PB05)=0,0,(_BA09-_BA08)/(_PB10-_PB04-_PB05)),"")</f>
        <v/>
      </c>
      <c r="F169" s="425" t="s">
        <v>1336</v>
      </c>
      <c r="L169" s="344"/>
    </row>
    <row r="170" spans="2:13" s="23" customFormat="1" ht="50.5" x14ac:dyDescent="0.25">
      <c r="B170" s="177" t="s">
        <v>737</v>
      </c>
      <c r="C170" s="183" t="s">
        <v>0</v>
      </c>
      <c r="D170" s="187" t="str">
        <f t="shared" si="8"/>
        <v>Euro/Mitarb.</v>
      </c>
      <c r="E170" s="430" t="str">
        <f>IF(_TEIL="I und II",IF((_PB10-_PB04-_PB05)=0,0,(_LG10-_BA34-_LG20-_LG09+_BA09-_BA08)/(_PB10-_PB04-_PB05)),"")</f>
        <v/>
      </c>
      <c r="F170" s="425" t="s">
        <v>1336</v>
      </c>
      <c r="L170" s="344"/>
    </row>
    <row r="171" spans="2:13" s="23" customFormat="1" ht="50.5" x14ac:dyDescent="0.25">
      <c r="B171" s="177" t="s">
        <v>738</v>
      </c>
      <c r="C171" s="183" t="s">
        <v>1</v>
      </c>
      <c r="D171" s="187" t="str">
        <f t="shared" si="8"/>
        <v>Euro/Mitarb.</v>
      </c>
      <c r="E171" s="430" t="str">
        <f>IF(_TEIL="I und II",IF((_PB10-_PB04-_PB05)=0,0,(_LG05-_LG06)/(_PB10-_PB04-_PB05)),"")</f>
        <v/>
      </c>
      <c r="F171" s="425" t="s">
        <v>1336</v>
      </c>
      <c r="L171" s="344"/>
    </row>
    <row r="172" spans="2:13" s="23" customFormat="1" ht="50.5" x14ac:dyDescent="0.25">
      <c r="B172" s="177" t="s">
        <v>739</v>
      </c>
      <c r="C172" s="183" t="s">
        <v>499</v>
      </c>
      <c r="D172" s="179" t="str">
        <f>IF(_WAEH=2,"DM/VE","Euro/WE")</f>
        <v>Euro/WE</v>
      </c>
      <c r="E172" s="430" t="str">
        <f>IF(_TEIL="I und II",IF((_EE01+_EE02/7+_EE03+_EE04/12+_VE01+_VE02/7+_VE03+_VE04/12)=0,0,(_BA14+_BA15)/(_EE01+_EE02/7+_EE03+_EE04/12+_VE01+_VE02/7+_VE03+_VE04/12)),"")</f>
        <v/>
      </c>
      <c r="F172" s="432" t="s">
        <v>1337</v>
      </c>
      <c r="L172" s="344"/>
    </row>
    <row r="173" spans="2:13" s="23" customFormat="1" ht="38" x14ac:dyDescent="0.25">
      <c r="B173" s="177" t="s">
        <v>1299</v>
      </c>
      <c r="C173" s="183" t="s">
        <v>1304</v>
      </c>
      <c r="D173" s="193" t="s">
        <v>548</v>
      </c>
      <c r="E173" s="189" t="str">
        <f>IF(_TEIL="I und II",(_BA14)/(_UE01+_UE03-_ES11-_ES12)*100,"")</f>
        <v/>
      </c>
      <c r="F173" s="432" t="s">
        <v>1337</v>
      </c>
      <c r="L173" s="352"/>
      <c r="M173" s="353"/>
    </row>
    <row r="174" spans="2:13" s="23" customFormat="1" ht="25.5" x14ac:dyDescent="0.25">
      <c r="B174" s="177" t="s">
        <v>1300</v>
      </c>
      <c r="C174" s="183" t="s">
        <v>1301</v>
      </c>
      <c r="D174" s="193" t="s">
        <v>548</v>
      </c>
      <c r="E174" s="189" t="str">
        <f>IF(_TEIL="I und II",(_BA14+_BA15)/(_UE10+_UE20+_UE30+_UE40)*100,"")</f>
        <v/>
      </c>
      <c r="F174" s="432" t="s">
        <v>1337</v>
      </c>
      <c r="L174" s="352"/>
      <c r="M174" s="353"/>
    </row>
    <row r="175" spans="2:13" s="23" customFormat="1" ht="38" x14ac:dyDescent="0.25">
      <c r="B175" s="177" t="s">
        <v>740</v>
      </c>
      <c r="C175" s="183" t="s">
        <v>1193</v>
      </c>
      <c r="D175" s="179" t="str">
        <f>IF(_WAEH=2,"DM/VE","Euro/WE")</f>
        <v>Euro/WE</v>
      </c>
      <c r="E175" s="430" t="str">
        <f>IF(_TEIL="I und II",IF((_EE01+_EE02/7+_EE03+_EE04/12)=0,0,(_BA14)/(_EE01+_EE02/7+_EE03+_EE04/12)),"")</f>
        <v/>
      </c>
      <c r="F175" s="432" t="s">
        <v>1337</v>
      </c>
      <c r="L175" s="344"/>
    </row>
    <row r="176" spans="2:13" s="23" customFormat="1" ht="50.5" x14ac:dyDescent="0.25">
      <c r="B176" s="177" t="s">
        <v>741</v>
      </c>
      <c r="C176" s="183" t="s">
        <v>500</v>
      </c>
      <c r="D176" s="179" t="str">
        <f>IF(_WAEH=2,"DM/VE","Euro/WE")</f>
        <v>Euro/WE</v>
      </c>
      <c r="E176" s="430" t="str">
        <f>IF(_TEIL="I und II",IF((_VE01+_VE02/7+_VE03+_VE04/12)=0,0,(_BA15)/(_VE01+_VE02/7+_VE03+_VE04/12)),"")</f>
        <v/>
      </c>
      <c r="F176" s="432" t="s">
        <v>1337</v>
      </c>
      <c r="L176" s="344"/>
    </row>
    <row r="177" spans="2:12" s="23" customFormat="1" ht="63" x14ac:dyDescent="0.25">
      <c r="B177" s="177" t="s">
        <v>742</v>
      </c>
      <c r="C177" s="183" t="s">
        <v>501</v>
      </c>
      <c r="D177" s="179" t="s">
        <v>67</v>
      </c>
      <c r="E177" s="430" t="str">
        <f>IF(_TEIL="I und II",IF(_PB30=0,0,(_EE01+_EE02/7+_EE03+_EE04/12+_VE01+_VE02/7+_VE03+_VE04/12)/_PB30),"")</f>
        <v/>
      </c>
      <c r="F177" s="432" t="s">
        <v>1337</v>
      </c>
      <c r="L177" s="344"/>
    </row>
    <row r="178" spans="2:12" ht="16" thickBot="1" x14ac:dyDescent="0.4">
      <c r="C178" s="274" t="s">
        <v>1040</v>
      </c>
      <c r="D178" s="22"/>
      <c r="E178" s="23"/>
      <c r="G178" s="23"/>
      <c r="H178" s="275"/>
      <c r="K178" s="277" t="e">
        <f>SUM(K9:K176)</f>
        <v>#DIV/0!</v>
      </c>
      <c r="L178" s="276"/>
    </row>
    <row r="179" spans="2:12" ht="13" thickTop="1" x14ac:dyDescent="0.25">
      <c r="D179" s="22"/>
    </row>
    <row r="180" spans="2:12" x14ac:dyDescent="0.25">
      <c r="D180" s="22"/>
    </row>
    <row r="181" spans="2:12" x14ac:dyDescent="0.25">
      <c r="C181" t="s">
        <v>816</v>
      </c>
      <c r="D181" s="22"/>
    </row>
    <row r="182" spans="2:12" x14ac:dyDescent="0.25">
      <c r="D182" s="22"/>
    </row>
    <row r="183" spans="2:12" x14ac:dyDescent="0.25">
      <c r="D183" s="22"/>
    </row>
    <row r="184" spans="2:12" x14ac:dyDescent="0.25">
      <c r="D184" s="22"/>
    </row>
  </sheetData>
  <sheetProtection password="92CE" sheet="1"/>
  <mergeCells count="2">
    <mergeCell ref="B2:E2"/>
    <mergeCell ref="B133:E133"/>
  </mergeCells>
  <phoneticPr fontId="0" type="noConversion"/>
  <printOptions horizontalCentered="1"/>
  <pageMargins left="0.78740157480314965" right="0.51181102362204722" top="0.59055118110236227" bottom="0.44" header="0.35433070866141736" footer="0.24"/>
  <pageSetup paperSize="9" scale="79" fitToHeight="5" orientation="portrait" horizontalDpi="4294967292" verticalDpi="96" r:id="rId1"/>
  <headerFooter alignWithMargins="0">
    <oddFooter>&amp;C&amp;"Arial,Fett"Kennzahlen&amp;RSeite &amp;P von &amp;N</oddFooter>
  </headerFooter>
  <rowBreaks count="5" manualBreakCount="5">
    <brk id="55" min="1" max="4" man="1"/>
    <brk id="87" min="1" max="4" man="1"/>
    <brk id="115" min="1" max="4" man="1"/>
    <brk id="132" min="1" max="4" man="1"/>
    <brk id="155" min="1" max="4" man="1"/>
  </rowBreaks>
  <drawing r:id="rId2"/>
  <legacyDrawing r:id="rId3"/>
  <controls>
    <mc:AlternateContent xmlns:mc="http://schemas.openxmlformats.org/markup-compatibility/2006">
      <mc:Choice Requires="x14">
        <control shapeId="17409" r:id="rId4" name="CommandButton1">
          <controlPr defaultSize="0" print="0" autoLine="0" r:id="rId5">
            <anchor moveWithCells="1">
              <from>
                <xdr:col>0</xdr:col>
                <xdr:colOff>76200</xdr:colOff>
                <xdr:row>178</xdr:row>
                <xdr:rowOff>0</xdr:rowOff>
              </from>
              <to>
                <xdr:col>1</xdr:col>
                <xdr:colOff>317500</xdr:colOff>
                <xdr:row>180</xdr:row>
                <xdr:rowOff>12700</xdr:rowOff>
              </to>
            </anchor>
          </controlPr>
        </control>
      </mc:Choice>
      <mc:Fallback>
        <control shapeId="17409" r:id="rId4" name="CommandButton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2">
    <pageSetUpPr fitToPage="1"/>
  </sheetPr>
  <dimension ref="A1:M240"/>
  <sheetViews>
    <sheetView view="pageBreakPreview" topLeftCell="A159" zoomScale="75" zoomScaleNormal="85" zoomScaleSheetLayoutView="75" workbookViewId="0">
      <selection activeCell="A165" sqref="A165:IV165"/>
    </sheetView>
  </sheetViews>
  <sheetFormatPr baseColWidth="10" defaultColWidth="11.453125" defaultRowHeight="12.5" x14ac:dyDescent="0.25"/>
  <cols>
    <col min="1" max="1" width="16.453125" style="397" customWidth="1"/>
    <col min="2" max="2" width="55.26953125" style="397" customWidth="1"/>
    <col min="3" max="3" width="11.54296875" style="397" customWidth="1"/>
    <col min="4" max="4" width="42.81640625" style="397" customWidth="1"/>
    <col min="5" max="5" width="58.54296875" style="397" customWidth="1"/>
    <col min="6" max="6" width="40.1796875" style="416" customWidth="1"/>
    <col min="7" max="8" width="13" style="397" customWidth="1"/>
    <col min="9" max="16384" width="11.453125" style="7"/>
  </cols>
  <sheetData>
    <row r="1" spans="1:8" s="389" customFormat="1" ht="26.25" customHeight="1" x14ac:dyDescent="0.5">
      <c r="A1" s="483" t="s">
        <v>1436</v>
      </c>
      <c r="B1" s="484"/>
      <c r="C1" s="484"/>
      <c r="D1" s="484"/>
      <c r="E1" s="484"/>
      <c r="F1" s="484"/>
      <c r="G1" s="388"/>
      <c r="H1" s="388"/>
    </row>
    <row r="3" spans="1:8" s="12" customFormat="1" ht="13" x14ac:dyDescent="0.3">
      <c r="A3" s="390" t="s">
        <v>465</v>
      </c>
      <c r="B3" s="390" t="s">
        <v>1437</v>
      </c>
      <c r="C3" s="390" t="s">
        <v>536</v>
      </c>
      <c r="D3" s="390" t="s">
        <v>1438</v>
      </c>
      <c r="E3" s="390" t="s">
        <v>1439</v>
      </c>
      <c r="F3" s="391" t="s">
        <v>1440</v>
      </c>
      <c r="G3" s="392"/>
      <c r="H3" s="392"/>
    </row>
    <row r="4" spans="1:8" x14ac:dyDescent="0.25">
      <c r="A4" s="393"/>
      <c r="B4" s="393"/>
      <c r="C4" s="393"/>
      <c r="D4" s="393"/>
      <c r="E4" s="393"/>
      <c r="F4" s="394"/>
      <c r="G4" s="395"/>
      <c r="H4" s="395"/>
    </row>
    <row r="5" spans="1:8" ht="15.5" x14ac:dyDescent="0.25">
      <c r="A5" s="396" t="s">
        <v>814</v>
      </c>
      <c r="B5" s="393"/>
      <c r="C5" s="393"/>
      <c r="D5" s="393"/>
      <c r="E5" s="393"/>
      <c r="F5" s="394"/>
      <c r="G5" s="395"/>
      <c r="H5" s="395"/>
    </row>
    <row r="6" spans="1:8" x14ac:dyDescent="0.25">
      <c r="A6" s="393"/>
      <c r="B6" s="393"/>
      <c r="C6" s="393"/>
      <c r="D6" s="393"/>
      <c r="E6" s="393"/>
      <c r="F6" s="394"/>
      <c r="G6" s="395"/>
    </row>
    <row r="7" spans="1:8" ht="15.5" x14ac:dyDescent="0.25">
      <c r="A7" s="398" t="s">
        <v>545</v>
      </c>
      <c r="B7" s="399"/>
      <c r="C7" s="399"/>
      <c r="D7" s="393"/>
      <c r="E7" s="393"/>
      <c r="F7" s="394"/>
    </row>
    <row r="8" spans="1:8" x14ac:dyDescent="0.25">
      <c r="A8" s="393"/>
      <c r="B8" s="393"/>
      <c r="C8" s="393"/>
      <c r="D8" s="393"/>
      <c r="E8" s="393"/>
      <c r="F8" s="394"/>
      <c r="G8" s="395"/>
    </row>
    <row r="9" spans="1:8" ht="13" x14ac:dyDescent="0.25">
      <c r="A9" s="400" t="s">
        <v>534</v>
      </c>
      <c r="B9" s="399"/>
      <c r="C9" s="399"/>
      <c r="D9" s="393"/>
      <c r="E9" s="393"/>
      <c r="F9" s="394"/>
    </row>
    <row r="10" spans="1:8" ht="13" x14ac:dyDescent="0.25">
      <c r="A10" s="400" t="s">
        <v>895</v>
      </c>
      <c r="B10" s="401" t="s">
        <v>537</v>
      </c>
      <c r="C10" s="402" t="s">
        <v>965</v>
      </c>
      <c r="D10" s="393" t="s">
        <v>1441</v>
      </c>
      <c r="E10" s="393"/>
      <c r="F10" s="403" t="s">
        <v>1442</v>
      </c>
      <c r="G10" s="395"/>
    </row>
    <row r="11" spans="1:8" ht="30" customHeight="1" x14ac:dyDescent="0.25">
      <c r="A11" s="400" t="s">
        <v>896</v>
      </c>
      <c r="B11" s="404" t="s">
        <v>1443</v>
      </c>
      <c r="C11" s="402" t="s">
        <v>965</v>
      </c>
      <c r="D11" s="393" t="s">
        <v>1444</v>
      </c>
      <c r="E11" s="393"/>
      <c r="F11" s="403" t="s">
        <v>1891</v>
      </c>
      <c r="G11" s="395"/>
    </row>
    <row r="12" spans="1:8" ht="142.5" customHeight="1" x14ac:dyDescent="0.25">
      <c r="A12" s="400" t="s">
        <v>867</v>
      </c>
      <c r="B12" s="404" t="s">
        <v>1445</v>
      </c>
      <c r="C12" s="402" t="s">
        <v>965</v>
      </c>
      <c r="D12" s="405" t="s">
        <v>1446</v>
      </c>
      <c r="E12" s="393"/>
      <c r="F12" s="403" t="s">
        <v>1447</v>
      </c>
      <c r="G12" s="395"/>
    </row>
    <row r="13" spans="1:8" ht="13" x14ac:dyDescent="0.25">
      <c r="A13" s="400" t="s">
        <v>897</v>
      </c>
      <c r="B13" s="401" t="s">
        <v>809</v>
      </c>
      <c r="C13" s="402" t="s">
        <v>965</v>
      </c>
      <c r="D13" s="393" t="s">
        <v>1448</v>
      </c>
      <c r="E13" s="393"/>
      <c r="F13" s="403" t="s">
        <v>1449</v>
      </c>
      <c r="G13" s="395"/>
    </row>
    <row r="14" spans="1:8" ht="13" x14ac:dyDescent="0.25">
      <c r="A14" s="400" t="s">
        <v>898</v>
      </c>
      <c r="B14" s="401" t="s">
        <v>539</v>
      </c>
      <c r="C14" s="402" t="s">
        <v>965</v>
      </c>
      <c r="D14" s="393" t="s">
        <v>1450</v>
      </c>
      <c r="E14" s="393"/>
      <c r="F14" s="403" t="s">
        <v>1451</v>
      </c>
      <c r="G14" s="395"/>
      <c r="H14" s="395"/>
    </row>
    <row r="15" spans="1:8" ht="13" x14ac:dyDescent="0.25">
      <c r="A15" s="400" t="s">
        <v>899</v>
      </c>
      <c r="B15" s="401" t="s">
        <v>810</v>
      </c>
      <c r="C15" s="402" t="s">
        <v>965</v>
      </c>
      <c r="D15" s="393" t="s">
        <v>1452</v>
      </c>
      <c r="E15" s="393"/>
      <c r="F15" s="403" t="s">
        <v>1453</v>
      </c>
      <c r="G15" s="395"/>
      <c r="H15" s="395"/>
    </row>
    <row r="16" spans="1:8" ht="25" x14ac:dyDescent="0.25">
      <c r="A16" s="400" t="s">
        <v>900</v>
      </c>
      <c r="B16" s="401" t="s">
        <v>613</v>
      </c>
      <c r="C16" s="402" t="s">
        <v>965</v>
      </c>
      <c r="D16" s="393"/>
      <c r="E16" s="393"/>
      <c r="F16" s="403" t="s">
        <v>1454</v>
      </c>
      <c r="G16" s="395"/>
      <c r="H16" s="395"/>
    </row>
    <row r="17" spans="1:8" ht="13" x14ac:dyDescent="0.25">
      <c r="A17" s="400" t="s">
        <v>901</v>
      </c>
      <c r="B17" s="401" t="s">
        <v>171</v>
      </c>
      <c r="C17" s="402" t="s">
        <v>965</v>
      </c>
      <c r="D17" s="393"/>
      <c r="E17" s="393"/>
      <c r="F17" s="403" t="s">
        <v>1455</v>
      </c>
      <c r="G17" s="395"/>
      <c r="H17" s="395"/>
    </row>
    <row r="18" spans="1:8" ht="15" customHeight="1" x14ac:dyDescent="0.25">
      <c r="A18" s="400" t="s">
        <v>902</v>
      </c>
      <c r="B18" s="401" t="s">
        <v>540</v>
      </c>
      <c r="C18" s="402" t="s">
        <v>965</v>
      </c>
      <c r="D18" s="393" t="s">
        <v>1456</v>
      </c>
      <c r="E18" s="393"/>
      <c r="F18" s="403" t="s">
        <v>1457</v>
      </c>
      <c r="G18" s="395"/>
      <c r="H18" s="395"/>
    </row>
    <row r="19" spans="1:8" ht="162.5" x14ac:dyDescent="0.25">
      <c r="A19" s="400" t="s">
        <v>903</v>
      </c>
      <c r="B19" s="404" t="s">
        <v>860</v>
      </c>
      <c r="C19" s="402" t="s">
        <v>965</v>
      </c>
      <c r="D19" s="405" t="s">
        <v>1458</v>
      </c>
      <c r="E19" s="393"/>
      <c r="F19" s="403" t="s">
        <v>1459</v>
      </c>
      <c r="G19" s="395"/>
      <c r="H19" s="395"/>
    </row>
    <row r="20" spans="1:8" ht="38" x14ac:dyDescent="0.25">
      <c r="A20" s="400" t="s">
        <v>651</v>
      </c>
      <c r="B20" s="404" t="s">
        <v>1460</v>
      </c>
      <c r="C20" s="402" t="s">
        <v>1461</v>
      </c>
      <c r="D20" s="405"/>
      <c r="E20" s="393"/>
      <c r="F20" s="403" t="s">
        <v>1462</v>
      </c>
      <c r="G20" s="395"/>
      <c r="H20" s="395"/>
    </row>
    <row r="21" spans="1:8" ht="50" x14ac:dyDescent="0.25">
      <c r="A21" s="400" t="s">
        <v>653</v>
      </c>
      <c r="B21" s="404" t="s">
        <v>1463</v>
      </c>
      <c r="C21" s="402" t="s">
        <v>965</v>
      </c>
      <c r="D21" s="405"/>
      <c r="E21" s="393"/>
      <c r="F21" s="406" t="s">
        <v>1464</v>
      </c>
      <c r="G21" s="395"/>
      <c r="H21" s="395"/>
    </row>
    <row r="22" spans="1:8" ht="38" x14ac:dyDescent="0.25">
      <c r="A22" s="400" t="s">
        <v>654</v>
      </c>
      <c r="B22" s="404" t="s">
        <v>8</v>
      </c>
      <c r="C22" s="402" t="s">
        <v>1461</v>
      </c>
      <c r="D22" s="405"/>
      <c r="E22" s="393"/>
      <c r="F22" s="406" t="s">
        <v>1465</v>
      </c>
      <c r="G22" s="395"/>
      <c r="H22" s="395"/>
    </row>
    <row r="23" spans="1:8" ht="38" x14ac:dyDescent="0.25">
      <c r="A23" s="400" t="s">
        <v>655</v>
      </c>
      <c r="B23" s="404" t="s">
        <v>9</v>
      </c>
      <c r="C23" s="402" t="s">
        <v>1461</v>
      </c>
      <c r="D23" s="405"/>
      <c r="E23" s="393"/>
      <c r="F23" s="406" t="s">
        <v>1466</v>
      </c>
      <c r="G23" s="395"/>
      <c r="H23" s="395"/>
    </row>
    <row r="24" spans="1:8" ht="13" x14ac:dyDescent="0.25">
      <c r="A24" s="400" t="s">
        <v>904</v>
      </c>
      <c r="B24" s="401" t="s">
        <v>688</v>
      </c>
      <c r="C24" s="402" t="s">
        <v>965</v>
      </c>
      <c r="D24" s="393"/>
      <c r="E24" s="393"/>
      <c r="F24" s="403" t="s">
        <v>1467</v>
      </c>
      <c r="G24" s="395"/>
      <c r="H24" s="395"/>
    </row>
    <row r="25" spans="1:8" ht="13" x14ac:dyDescent="0.25">
      <c r="A25" s="400" t="s">
        <v>905</v>
      </c>
      <c r="B25" s="401" t="s">
        <v>1468</v>
      </c>
      <c r="C25" s="402" t="s">
        <v>965</v>
      </c>
      <c r="D25" s="393"/>
      <c r="E25" s="393"/>
      <c r="F25" s="403" t="s">
        <v>1469</v>
      </c>
      <c r="G25" s="395"/>
      <c r="H25" s="395"/>
    </row>
    <row r="26" spans="1:8" ht="13" x14ac:dyDescent="0.25">
      <c r="A26" s="400" t="s">
        <v>906</v>
      </c>
      <c r="B26" s="401" t="s">
        <v>1470</v>
      </c>
      <c r="C26" s="402" t="s">
        <v>965</v>
      </c>
      <c r="D26" s="393"/>
      <c r="E26" s="393"/>
      <c r="F26" s="403" t="s">
        <v>1471</v>
      </c>
      <c r="G26" s="395"/>
      <c r="H26" s="395"/>
    </row>
    <row r="27" spans="1:8" ht="13" x14ac:dyDescent="0.25">
      <c r="A27" s="400" t="s">
        <v>907</v>
      </c>
      <c r="B27" s="401" t="s">
        <v>624</v>
      </c>
      <c r="C27" s="402" t="s">
        <v>965</v>
      </c>
      <c r="D27" s="393"/>
      <c r="E27" s="393"/>
      <c r="F27" s="403" t="s">
        <v>1472</v>
      </c>
      <c r="G27" s="395"/>
      <c r="H27" s="395"/>
    </row>
    <row r="28" spans="1:8" ht="13" x14ac:dyDescent="0.25">
      <c r="A28" s="400" t="s">
        <v>908</v>
      </c>
      <c r="B28" s="401" t="s">
        <v>343</v>
      </c>
      <c r="C28" s="402" t="s">
        <v>965</v>
      </c>
      <c r="D28" s="393"/>
      <c r="E28" s="393"/>
      <c r="F28" s="403" t="s">
        <v>1473</v>
      </c>
      <c r="G28" s="395"/>
      <c r="H28" s="395"/>
    </row>
    <row r="29" spans="1:8" ht="13" x14ac:dyDescent="0.25">
      <c r="A29" s="400" t="s">
        <v>909</v>
      </c>
      <c r="B29" s="401" t="s">
        <v>56</v>
      </c>
      <c r="C29" s="402" t="s">
        <v>965</v>
      </c>
      <c r="D29" s="393"/>
      <c r="E29" s="393"/>
      <c r="F29" s="403" t="s">
        <v>1474</v>
      </c>
      <c r="G29" s="395"/>
      <c r="H29" s="395"/>
    </row>
    <row r="30" spans="1:8" ht="13" x14ac:dyDescent="0.25">
      <c r="A30" s="400" t="s">
        <v>910</v>
      </c>
      <c r="B30" s="401" t="s">
        <v>541</v>
      </c>
      <c r="C30" s="402" t="s">
        <v>965</v>
      </c>
      <c r="D30" s="393"/>
      <c r="E30" s="393"/>
      <c r="F30" s="403" t="s">
        <v>1475</v>
      </c>
      <c r="G30" s="395"/>
      <c r="H30" s="395"/>
    </row>
    <row r="31" spans="1:8" ht="25" x14ac:dyDescent="0.25">
      <c r="A31" s="400" t="s">
        <v>682</v>
      </c>
      <c r="B31" s="401" t="s">
        <v>811</v>
      </c>
      <c r="C31" s="402" t="s">
        <v>965</v>
      </c>
      <c r="D31" s="393"/>
      <c r="E31" s="393"/>
      <c r="F31" s="403" t="s">
        <v>1476</v>
      </c>
      <c r="G31" s="395"/>
      <c r="H31" s="395"/>
    </row>
    <row r="32" spans="1:8" ht="50" x14ac:dyDescent="0.25">
      <c r="A32" s="400" t="s">
        <v>683</v>
      </c>
      <c r="B32" s="401" t="s">
        <v>1233</v>
      </c>
      <c r="C32" s="402" t="s">
        <v>965</v>
      </c>
      <c r="D32" s="393"/>
      <c r="E32" s="393"/>
      <c r="F32" s="403" t="s">
        <v>1477</v>
      </c>
      <c r="G32" s="395"/>
      <c r="H32" s="395"/>
    </row>
    <row r="33" spans="1:8" ht="13" x14ac:dyDescent="0.25">
      <c r="A33" s="400" t="s">
        <v>684</v>
      </c>
      <c r="B33" s="401" t="s">
        <v>542</v>
      </c>
      <c r="C33" s="402" t="s">
        <v>965</v>
      </c>
      <c r="D33" s="393"/>
      <c r="E33" s="393"/>
      <c r="F33" s="403" t="s">
        <v>1478</v>
      </c>
      <c r="G33" s="395"/>
      <c r="H33" s="395"/>
    </row>
    <row r="34" spans="1:8" ht="13" x14ac:dyDescent="0.25">
      <c r="A34" s="400" t="s">
        <v>685</v>
      </c>
      <c r="B34" s="401" t="s">
        <v>689</v>
      </c>
      <c r="C34" s="402" t="s">
        <v>965</v>
      </c>
      <c r="D34" s="393"/>
      <c r="E34" s="393"/>
      <c r="F34" s="403" t="s">
        <v>1479</v>
      </c>
      <c r="G34" s="395"/>
      <c r="H34" s="395"/>
    </row>
    <row r="35" spans="1:8" ht="93" customHeight="1" x14ac:dyDescent="0.25">
      <c r="A35" s="400" t="s">
        <v>686</v>
      </c>
      <c r="B35" s="401" t="s">
        <v>27</v>
      </c>
      <c r="C35" s="402" t="s">
        <v>965</v>
      </c>
      <c r="D35" s="405" t="s">
        <v>1480</v>
      </c>
      <c r="E35" s="394" t="s">
        <v>1481</v>
      </c>
      <c r="F35" s="403" t="s">
        <v>1880</v>
      </c>
      <c r="G35" s="395"/>
      <c r="H35" s="395"/>
    </row>
    <row r="36" spans="1:8" ht="50" x14ac:dyDescent="0.25">
      <c r="A36" s="400" t="s">
        <v>64</v>
      </c>
      <c r="B36" s="401" t="s">
        <v>627</v>
      </c>
      <c r="C36" s="402" t="s">
        <v>965</v>
      </c>
      <c r="D36" s="405" t="s">
        <v>1482</v>
      </c>
      <c r="E36" s="393" t="s">
        <v>1483</v>
      </c>
      <c r="F36" s="403" t="s">
        <v>1879</v>
      </c>
      <c r="G36" s="395"/>
      <c r="H36" s="395"/>
    </row>
    <row r="37" spans="1:8" ht="25" x14ac:dyDescent="0.25">
      <c r="A37" s="400" t="s">
        <v>631</v>
      </c>
      <c r="B37" s="401" t="s">
        <v>632</v>
      </c>
      <c r="C37" s="402" t="s">
        <v>965</v>
      </c>
      <c r="D37" s="394" t="s">
        <v>1484</v>
      </c>
      <c r="E37" s="393" t="s">
        <v>1483</v>
      </c>
      <c r="F37" s="406" t="s">
        <v>1485</v>
      </c>
      <c r="G37" s="395"/>
      <c r="H37" s="395"/>
    </row>
    <row r="38" spans="1:8" ht="25" x14ac:dyDescent="0.25">
      <c r="A38" s="400" t="s">
        <v>963</v>
      </c>
      <c r="B38" s="401" t="s">
        <v>964</v>
      </c>
      <c r="C38" s="402" t="s">
        <v>965</v>
      </c>
      <c r="D38" s="394" t="s">
        <v>1486</v>
      </c>
      <c r="E38" s="393" t="s">
        <v>1483</v>
      </c>
      <c r="F38" s="406" t="s">
        <v>1487</v>
      </c>
      <c r="G38" s="395"/>
      <c r="H38" s="395"/>
    </row>
    <row r="39" spans="1:8" ht="13" x14ac:dyDescent="0.25">
      <c r="A39" s="400" t="s">
        <v>687</v>
      </c>
      <c r="B39" s="401" t="s">
        <v>812</v>
      </c>
      <c r="C39" s="402" t="s">
        <v>965</v>
      </c>
      <c r="D39" s="393"/>
      <c r="E39" s="393"/>
      <c r="F39" s="403" t="s">
        <v>1488</v>
      </c>
      <c r="G39" s="395"/>
      <c r="H39" s="395"/>
    </row>
    <row r="40" spans="1:8" ht="13" hidden="1" x14ac:dyDescent="0.25">
      <c r="A40" s="400" t="s">
        <v>54</v>
      </c>
      <c r="B40" s="401" t="s">
        <v>347</v>
      </c>
      <c r="C40" s="402" t="s">
        <v>965</v>
      </c>
      <c r="D40" s="393"/>
      <c r="E40" s="393"/>
      <c r="F40" s="403" t="s">
        <v>1489</v>
      </c>
      <c r="G40" s="395"/>
      <c r="H40" s="395"/>
    </row>
    <row r="41" spans="1:8" ht="13" x14ac:dyDescent="0.25">
      <c r="A41" s="400"/>
      <c r="B41" s="401"/>
      <c r="C41" s="402"/>
      <c r="D41" s="393"/>
      <c r="E41" s="393"/>
      <c r="F41" s="407"/>
      <c r="G41" s="395"/>
      <c r="H41" s="395"/>
    </row>
    <row r="42" spans="1:8" ht="13" x14ac:dyDescent="0.25">
      <c r="A42" s="400" t="s">
        <v>543</v>
      </c>
      <c r="B42" s="399"/>
      <c r="C42" s="402"/>
      <c r="D42" s="393"/>
      <c r="E42" s="393"/>
      <c r="F42" s="394"/>
    </row>
    <row r="43" spans="1:8" ht="13" x14ac:dyDescent="0.25">
      <c r="A43" s="400" t="s">
        <v>690</v>
      </c>
      <c r="B43" s="401" t="s">
        <v>42</v>
      </c>
      <c r="C43" s="402" t="s">
        <v>334</v>
      </c>
      <c r="D43" s="393"/>
      <c r="E43" s="393"/>
      <c r="F43" s="403" t="s">
        <v>1490</v>
      </c>
    </row>
    <row r="44" spans="1:8" ht="13" x14ac:dyDescent="0.25">
      <c r="A44" s="400" t="s">
        <v>614</v>
      </c>
      <c r="B44" s="401" t="s">
        <v>652</v>
      </c>
      <c r="C44" s="402" t="s">
        <v>334</v>
      </c>
      <c r="D44" s="393"/>
      <c r="E44" s="393"/>
      <c r="F44" s="406" t="s">
        <v>1491</v>
      </c>
    </row>
    <row r="45" spans="1:8" ht="13" x14ac:dyDescent="0.25">
      <c r="A45" s="400" t="s">
        <v>691</v>
      </c>
      <c r="B45" s="401" t="s">
        <v>813</v>
      </c>
      <c r="C45" s="402" t="s">
        <v>334</v>
      </c>
      <c r="D45" s="393"/>
      <c r="E45" s="393"/>
      <c r="F45" s="403" t="s">
        <v>374</v>
      </c>
    </row>
    <row r="46" spans="1:8" ht="13" x14ac:dyDescent="0.25">
      <c r="A46" s="400" t="s">
        <v>692</v>
      </c>
      <c r="B46" s="401" t="s">
        <v>43</v>
      </c>
      <c r="C46" s="402" t="s">
        <v>544</v>
      </c>
      <c r="D46" s="393"/>
      <c r="E46" s="393"/>
      <c r="F46" s="403" t="s">
        <v>375</v>
      </c>
    </row>
    <row r="47" spans="1:8" ht="25" x14ac:dyDescent="0.25">
      <c r="A47" s="400" t="s">
        <v>657</v>
      </c>
      <c r="B47" s="401" t="s">
        <v>1492</v>
      </c>
      <c r="C47" s="402" t="s">
        <v>544</v>
      </c>
      <c r="D47" s="393"/>
      <c r="E47" s="393"/>
      <c r="F47" s="406" t="s">
        <v>1274</v>
      </c>
    </row>
    <row r="48" spans="1:8" ht="13" x14ac:dyDescent="0.25">
      <c r="A48" s="400" t="s">
        <v>693</v>
      </c>
      <c r="B48" s="401" t="s">
        <v>1142</v>
      </c>
      <c r="C48" s="402" t="s">
        <v>544</v>
      </c>
      <c r="D48" s="393"/>
      <c r="E48" s="393"/>
      <c r="F48" s="403" t="s">
        <v>47</v>
      </c>
    </row>
    <row r="49" spans="1:6" ht="13" x14ac:dyDescent="0.25">
      <c r="A49" s="400" t="s">
        <v>658</v>
      </c>
      <c r="B49" s="401" t="s">
        <v>468</v>
      </c>
      <c r="C49" s="402" t="s">
        <v>544</v>
      </c>
      <c r="D49" s="393"/>
      <c r="E49" s="393"/>
      <c r="F49" s="406" t="s">
        <v>1275</v>
      </c>
    </row>
    <row r="50" spans="1:6" ht="15.5" x14ac:dyDescent="0.25">
      <c r="A50" s="398" t="s">
        <v>546</v>
      </c>
      <c r="B50" s="399"/>
      <c r="C50" s="402"/>
      <c r="D50" s="393"/>
      <c r="E50" s="393"/>
      <c r="F50" s="394"/>
    </row>
    <row r="51" spans="1:6" x14ac:dyDescent="0.25">
      <c r="A51" s="399"/>
      <c r="B51" s="399"/>
      <c r="C51" s="402"/>
      <c r="D51" s="393"/>
      <c r="E51" s="393"/>
      <c r="F51" s="407"/>
    </row>
    <row r="52" spans="1:6" ht="13" x14ac:dyDescent="0.25">
      <c r="A52" s="400" t="s">
        <v>547</v>
      </c>
      <c r="B52" s="399"/>
      <c r="C52" s="402"/>
      <c r="D52" s="394"/>
      <c r="E52" s="393"/>
      <c r="F52" s="394"/>
    </row>
    <row r="53" spans="1:6" ht="75" x14ac:dyDescent="0.25">
      <c r="A53" s="400" t="s">
        <v>694</v>
      </c>
      <c r="B53" s="404" t="s">
        <v>1493</v>
      </c>
      <c r="C53" s="402" t="s">
        <v>548</v>
      </c>
      <c r="D53" s="394" t="s">
        <v>1494</v>
      </c>
      <c r="E53" s="394" t="s">
        <v>1495</v>
      </c>
      <c r="F53" s="403" t="s">
        <v>1496</v>
      </c>
    </row>
    <row r="54" spans="1:6" ht="87.5" x14ac:dyDescent="0.25">
      <c r="A54" s="400" t="s">
        <v>695</v>
      </c>
      <c r="B54" s="404" t="s">
        <v>473</v>
      </c>
      <c r="C54" s="402" t="s">
        <v>548</v>
      </c>
      <c r="D54" s="394" t="s">
        <v>1497</v>
      </c>
      <c r="E54" s="394" t="s">
        <v>1498</v>
      </c>
      <c r="F54" s="403" t="s">
        <v>1499</v>
      </c>
    </row>
    <row r="55" spans="1:6" ht="100" x14ac:dyDescent="0.25">
      <c r="A55" s="400" t="s">
        <v>696</v>
      </c>
      <c r="B55" s="404" t="s">
        <v>1276</v>
      </c>
      <c r="C55" s="402" t="s">
        <v>548</v>
      </c>
      <c r="D55" s="394" t="s">
        <v>1500</v>
      </c>
      <c r="E55" s="394" t="s">
        <v>1501</v>
      </c>
      <c r="F55" s="403" t="s">
        <v>1502</v>
      </c>
    </row>
    <row r="56" spans="1:6" ht="75" x14ac:dyDescent="0.25">
      <c r="A56" s="400" t="s">
        <v>697</v>
      </c>
      <c r="B56" s="404" t="s">
        <v>1237</v>
      </c>
      <c r="C56" s="402" t="s">
        <v>548</v>
      </c>
      <c r="D56" s="394" t="s">
        <v>1503</v>
      </c>
      <c r="E56" s="394" t="s">
        <v>1504</v>
      </c>
      <c r="F56" s="403" t="s">
        <v>1505</v>
      </c>
    </row>
    <row r="57" spans="1:6" ht="38" x14ac:dyDescent="0.25">
      <c r="A57" s="400" t="s">
        <v>1104</v>
      </c>
      <c r="B57" s="404" t="s">
        <v>1506</v>
      </c>
      <c r="C57" s="402" t="s">
        <v>548</v>
      </c>
      <c r="D57" s="394"/>
      <c r="E57" s="394"/>
      <c r="F57" s="406" t="s">
        <v>1507</v>
      </c>
    </row>
    <row r="58" spans="1:6" ht="62.5" x14ac:dyDescent="0.25">
      <c r="A58" s="400" t="s">
        <v>698</v>
      </c>
      <c r="B58" s="404" t="s">
        <v>1236</v>
      </c>
      <c r="C58" s="402" t="s">
        <v>548</v>
      </c>
      <c r="D58" s="394" t="s">
        <v>1508</v>
      </c>
      <c r="E58" s="394" t="s">
        <v>1509</v>
      </c>
      <c r="F58" s="403" t="s">
        <v>1881</v>
      </c>
    </row>
    <row r="59" spans="1:6" ht="37.5" x14ac:dyDescent="0.25">
      <c r="A59" s="400" t="s">
        <v>635</v>
      </c>
      <c r="B59" s="404" t="s">
        <v>636</v>
      </c>
      <c r="C59" s="402" t="s">
        <v>548</v>
      </c>
      <c r="D59" s="394"/>
      <c r="E59" s="394"/>
      <c r="F59" s="406" t="s">
        <v>1882</v>
      </c>
    </row>
    <row r="60" spans="1:6" ht="50.5" x14ac:dyDescent="0.25">
      <c r="A60" s="400" t="s">
        <v>1307</v>
      </c>
      <c r="B60" s="404" t="s">
        <v>1310</v>
      </c>
      <c r="C60" s="402" t="s">
        <v>548</v>
      </c>
      <c r="D60" s="394"/>
      <c r="E60" s="405" t="s">
        <v>1510</v>
      </c>
      <c r="F60" s="406" t="s">
        <v>1511</v>
      </c>
    </row>
    <row r="61" spans="1:6" ht="25.5" x14ac:dyDescent="0.25">
      <c r="A61" s="400" t="s">
        <v>1308</v>
      </c>
      <c r="B61" s="404" t="s">
        <v>1512</v>
      </c>
      <c r="C61" s="402" t="s">
        <v>548</v>
      </c>
      <c r="D61" s="394" t="s">
        <v>1513</v>
      </c>
      <c r="E61" s="394"/>
      <c r="F61" s="406" t="s">
        <v>1514</v>
      </c>
    </row>
    <row r="62" spans="1:6" ht="42.75" customHeight="1" x14ac:dyDescent="0.25">
      <c r="A62" s="400" t="s">
        <v>699</v>
      </c>
      <c r="B62" s="404" t="s">
        <v>1235</v>
      </c>
      <c r="C62" s="402" t="s">
        <v>548</v>
      </c>
      <c r="D62" s="394" t="s">
        <v>1515</v>
      </c>
      <c r="E62" s="394" t="s">
        <v>1516</v>
      </c>
      <c r="F62" s="403" t="s">
        <v>1517</v>
      </c>
    </row>
    <row r="63" spans="1:6" ht="50" x14ac:dyDescent="0.25">
      <c r="A63" s="400" t="s">
        <v>700</v>
      </c>
      <c r="B63" s="404" t="s">
        <v>1234</v>
      </c>
      <c r="C63" s="402" t="s">
        <v>548</v>
      </c>
      <c r="D63" s="394" t="s">
        <v>1518</v>
      </c>
      <c r="E63" s="394" t="s">
        <v>1519</v>
      </c>
      <c r="F63" s="403" t="s">
        <v>1520</v>
      </c>
    </row>
    <row r="64" spans="1:6" ht="13" x14ac:dyDescent="0.25">
      <c r="A64" s="400" t="s">
        <v>549</v>
      </c>
      <c r="B64" s="399"/>
      <c r="C64" s="402"/>
      <c r="D64" s="402"/>
      <c r="E64" s="402"/>
      <c r="F64" s="403"/>
    </row>
    <row r="65" spans="1:13" ht="50" x14ac:dyDescent="0.25">
      <c r="A65" s="400" t="s">
        <v>701</v>
      </c>
      <c r="B65" s="404" t="s">
        <v>1521</v>
      </c>
      <c r="C65" s="402" t="s">
        <v>548</v>
      </c>
      <c r="D65" s="394" t="s">
        <v>1522</v>
      </c>
      <c r="E65" s="394" t="s">
        <v>1523</v>
      </c>
      <c r="F65" s="403" t="s">
        <v>1884</v>
      </c>
    </row>
    <row r="66" spans="1:13" ht="51" x14ac:dyDescent="0.25">
      <c r="A66" s="404" t="s">
        <v>28</v>
      </c>
      <c r="B66" s="404" t="s">
        <v>1524</v>
      </c>
      <c r="C66" s="408" t="s">
        <v>548</v>
      </c>
      <c r="D66" s="394" t="s">
        <v>1525</v>
      </c>
      <c r="E66" s="394" t="s">
        <v>1526</v>
      </c>
      <c r="F66" s="403" t="s">
        <v>1883</v>
      </c>
    </row>
    <row r="67" spans="1:13" ht="25.5" x14ac:dyDescent="0.25">
      <c r="A67" s="404" t="s">
        <v>659</v>
      </c>
      <c r="B67" s="404" t="s">
        <v>1527</v>
      </c>
      <c r="C67" s="408" t="s">
        <v>548</v>
      </c>
      <c r="D67" s="394"/>
      <c r="E67" s="394"/>
      <c r="F67" s="406" t="s">
        <v>1885</v>
      </c>
    </row>
    <row r="68" spans="1:13" ht="51" x14ac:dyDescent="0.25">
      <c r="A68" s="404" t="s">
        <v>1278</v>
      </c>
      <c r="B68" s="404" t="s">
        <v>1528</v>
      </c>
      <c r="C68" s="408" t="s">
        <v>548</v>
      </c>
      <c r="D68" s="394"/>
      <c r="E68" s="394"/>
      <c r="F68" s="406" t="s">
        <v>1886</v>
      </c>
    </row>
    <row r="69" spans="1:13" ht="38" x14ac:dyDescent="0.25">
      <c r="A69" s="404" t="s">
        <v>1107</v>
      </c>
      <c r="B69" s="404" t="s">
        <v>1529</v>
      </c>
      <c r="C69" s="408" t="s">
        <v>548</v>
      </c>
      <c r="D69" s="394"/>
      <c r="E69" s="394"/>
      <c r="F69" s="406" t="s">
        <v>1887</v>
      </c>
    </row>
    <row r="70" spans="1:13" ht="50" x14ac:dyDescent="0.25">
      <c r="A70" s="400" t="s">
        <v>702</v>
      </c>
      <c r="B70" s="404" t="s">
        <v>1530</v>
      </c>
      <c r="C70" s="402" t="s">
        <v>548</v>
      </c>
      <c r="D70" s="394" t="s">
        <v>1531</v>
      </c>
      <c r="E70" s="394" t="s">
        <v>1532</v>
      </c>
      <c r="F70" s="403" t="s">
        <v>1533</v>
      </c>
    </row>
    <row r="71" spans="1:13" ht="38" x14ac:dyDescent="0.25">
      <c r="A71" s="400" t="s">
        <v>660</v>
      </c>
      <c r="B71" s="404" t="s">
        <v>1534</v>
      </c>
      <c r="C71" s="402" t="s">
        <v>548</v>
      </c>
      <c r="D71" s="394"/>
      <c r="E71" s="394"/>
      <c r="F71" s="406" t="s">
        <v>1535</v>
      </c>
    </row>
    <row r="72" spans="1:13" ht="25.5" x14ac:dyDescent="0.25">
      <c r="A72" s="400" t="s">
        <v>703</v>
      </c>
      <c r="B72" s="404" t="s">
        <v>508</v>
      </c>
      <c r="C72" s="402" t="s">
        <v>548</v>
      </c>
      <c r="D72" s="394" t="s">
        <v>1536</v>
      </c>
      <c r="E72" s="394" t="s">
        <v>1532</v>
      </c>
      <c r="F72" s="403" t="s">
        <v>1537</v>
      </c>
    </row>
    <row r="73" spans="1:13" ht="50" x14ac:dyDescent="0.25">
      <c r="A73" s="400" t="s">
        <v>704</v>
      </c>
      <c r="B73" s="404" t="s">
        <v>509</v>
      </c>
      <c r="C73" s="402" t="s">
        <v>548</v>
      </c>
      <c r="D73" s="394" t="s">
        <v>1538</v>
      </c>
      <c r="E73" s="394" t="s">
        <v>1539</v>
      </c>
      <c r="F73" s="403" t="s">
        <v>1888</v>
      </c>
      <c r="G73" s="395"/>
      <c r="H73" s="395"/>
      <c r="M73" s="409"/>
    </row>
    <row r="74" spans="1:13" ht="50" x14ac:dyDescent="0.25">
      <c r="A74" s="404" t="s">
        <v>29</v>
      </c>
      <c r="B74" s="404" t="s">
        <v>1540</v>
      </c>
      <c r="C74" s="408" t="s">
        <v>548</v>
      </c>
      <c r="D74" s="394" t="s">
        <v>1541</v>
      </c>
      <c r="E74" s="405"/>
      <c r="F74" s="403" t="s">
        <v>1889</v>
      </c>
      <c r="G74" s="395"/>
      <c r="H74" s="395"/>
      <c r="M74" s="409"/>
    </row>
    <row r="75" spans="1:13" ht="25.5" x14ac:dyDescent="0.25">
      <c r="A75" s="404" t="s">
        <v>638</v>
      </c>
      <c r="B75" s="404" t="s">
        <v>479</v>
      </c>
      <c r="C75" s="408" t="s">
        <v>548</v>
      </c>
      <c r="D75" s="394"/>
      <c r="E75" s="405"/>
      <c r="F75" s="406" t="s">
        <v>1890</v>
      </c>
      <c r="G75" s="395"/>
      <c r="H75" s="395"/>
      <c r="M75" s="409"/>
    </row>
    <row r="76" spans="1:13" ht="62.5" x14ac:dyDescent="0.25">
      <c r="A76" s="400" t="s">
        <v>705</v>
      </c>
      <c r="B76" s="404" t="s">
        <v>866</v>
      </c>
      <c r="C76" s="402" t="s">
        <v>548</v>
      </c>
      <c r="D76" s="394" t="s">
        <v>1542</v>
      </c>
      <c r="E76" s="394" t="s">
        <v>1543</v>
      </c>
      <c r="F76" s="403" t="s">
        <v>1544</v>
      </c>
    </row>
    <row r="77" spans="1:13" ht="38" x14ac:dyDescent="0.25">
      <c r="A77" s="400" t="s">
        <v>639</v>
      </c>
      <c r="B77" s="404" t="s">
        <v>477</v>
      </c>
      <c r="C77" s="402" t="s">
        <v>548</v>
      </c>
      <c r="D77" s="394"/>
      <c r="E77" s="394"/>
      <c r="F77" s="406" t="s">
        <v>1545</v>
      </c>
    </row>
    <row r="78" spans="1:13" ht="25.5" x14ac:dyDescent="0.25">
      <c r="A78" s="400" t="s">
        <v>706</v>
      </c>
      <c r="B78" s="404" t="s">
        <v>512</v>
      </c>
      <c r="C78" s="402" t="s">
        <v>548</v>
      </c>
      <c r="D78" s="394" t="s">
        <v>1546</v>
      </c>
      <c r="E78" s="394" t="s">
        <v>1543</v>
      </c>
      <c r="F78" s="403" t="s">
        <v>1547</v>
      </c>
    </row>
    <row r="79" spans="1:13" ht="25.5" x14ac:dyDescent="0.25">
      <c r="A79" s="400" t="s">
        <v>640</v>
      </c>
      <c r="B79" s="404" t="s">
        <v>1548</v>
      </c>
      <c r="C79" s="402" t="s">
        <v>548</v>
      </c>
      <c r="D79" s="394"/>
      <c r="E79" s="394"/>
      <c r="F79" s="406" t="s">
        <v>1549</v>
      </c>
    </row>
    <row r="80" spans="1:13" ht="25.5" x14ac:dyDescent="0.25">
      <c r="A80" s="400" t="s">
        <v>707</v>
      </c>
      <c r="B80" s="404" t="s">
        <v>514</v>
      </c>
      <c r="C80" s="402" t="s">
        <v>548</v>
      </c>
      <c r="D80" s="394" t="s">
        <v>1550</v>
      </c>
      <c r="E80" s="394" t="s">
        <v>1551</v>
      </c>
      <c r="F80" s="403" t="s">
        <v>1552</v>
      </c>
    </row>
    <row r="81" spans="1:6" ht="25.5" x14ac:dyDescent="0.25">
      <c r="A81" s="404" t="s">
        <v>1229</v>
      </c>
      <c r="B81" s="404" t="s">
        <v>474</v>
      </c>
      <c r="C81" s="408" t="s">
        <v>1136</v>
      </c>
      <c r="D81" s="394"/>
      <c r="E81" s="405"/>
      <c r="F81" s="403" t="s">
        <v>1553</v>
      </c>
    </row>
    <row r="82" spans="1:6" ht="38" x14ac:dyDescent="0.25">
      <c r="A82" s="404" t="s">
        <v>641</v>
      </c>
      <c r="B82" s="404" t="s">
        <v>478</v>
      </c>
      <c r="C82" s="408" t="s">
        <v>1136</v>
      </c>
      <c r="D82" s="394"/>
      <c r="E82" s="405"/>
      <c r="F82" s="406" t="s">
        <v>1554</v>
      </c>
    </row>
    <row r="83" spans="1:6" ht="37.5" x14ac:dyDescent="0.25">
      <c r="A83" s="400" t="s">
        <v>708</v>
      </c>
      <c r="B83" s="404" t="s">
        <v>515</v>
      </c>
      <c r="C83" s="402" t="s">
        <v>548</v>
      </c>
      <c r="D83" s="394" t="s">
        <v>1555</v>
      </c>
      <c r="E83" s="394" t="s">
        <v>1556</v>
      </c>
      <c r="F83" s="403" t="s">
        <v>1557</v>
      </c>
    </row>
    <row r="84" spans="1:6" ht="50" x14ac:dyDescent="0.25">
      <c r="A84" s="400" t="s">
        <v>709</v>
      </c>
      <c r="B84" s="404" t="s">
        <v>516</v>
      </c>
      <c r="C84" s="402" t="s">
        <v>548</v>
      </c>
      <c r="D84" s="394" t="s">
        <v>1558</v>
      </c>
      <c r="E84" s="394" t="s">
        <v>1559</v>
      </c>
      <c r="F84" s="403" t="s">
        <v>1560</v>
      </c>
    </row>
    <row r="85" spans="1:6" ht="50" x14ac:dyDescent="0.25">
      <c r="A85" s="400" t="s">
        <v>617</v>
      </c>
      <c r="B85" s="404" t="s">
        <v>633</v>
      </c>
      <c r="C85" s="402" t="s">
        <v>548</v>
      </c>
      <c r="D85" s="394"/>
      <c r="E85" s="394"/>
      <c r="F85" s="406" t="s">
        <v>1561</v>
      </c>
    </row>
    <row r="86" spans="1:6" ht="37.5" x14ac:dyDescent="0.25">
      <c r="A86" s="400" t="s">
        <v>710</v>
      </c>
      <c r="B86" s="404" t="s">
        <v>11</v>
      </c>
      <c r="C86" s="402" t="s">
        <v>548</v>
      </c>
      <c r="D86" s="394" t="s">
        <v>1562</v>
      </c>
      <c r="E86" s="394" t="s">
        <v>1563</v>
      </c>
      <c r="F86" s="403" t="s">
        <v>1564</v>
      </c>
    </row>
    <row r="87" spans="1:6" ht="25.5" x14ac:dyDescent="0.25">
      <c r="A87" s="400" t="s">
        <v>642</v>
      </c>
      <c r="B87" s="404" t="s">
        <v>484</v>
      </c>
      <c r="C87" s="402" t="s">
        <v>548</v>
      </c>
      <c r="D87" s="394"/>
      <c r="E87" s="394"/>
      <c r="F87" s="406" t="s">
        <v>1565</v>
      </c>
    </row>
    <row r="88" spans="1:6" ht="37.5" x14ac:dyDescent="0.25">
      <c r="A88" s="400" t="s">
        <v>711</v>
      </c>
      <c r="B88" s="404" t="s">
        <v>12</v>
      </c>
      <c r="C88" s="402" t="s">
        <v>548</v>
      </c>
      <c r="D88" s="394" t="s">
        <v>1566</v>
      </c>
      <c r="E88" s="394" t="s">
        <v>1567</v>
      </c>
      <c r="F88" s="403" t="s">
        <v>1568</v>
      </c>
    </row>
    <row r="89" spans="1:6" ht="25.5" x14ac:dyDescent="0.25">
      <c r="A89" s="400" t="s">
        <v>643</v>
      </c>
      <c r="B89" s="404" t="s">
        <v>485</v>
      </c>
      <c r="C89" s="402" t="s">
        <v>548</v>
      </c>
      <c r="D89" s="394"/>
      <c r="E89" s="394"/>
      <c r="F89" s="406" t="s">
        <v>1569</v>
      </c>
    </row>
    <row r="90" spans="1:6" ht="37.5" x14ac:dyDescent="0.25">
      <c r="A90" s="400" t="s">
        <v>712</v>
      </c>
      <c r="B90" s="404" t="s">
        <v>10</v>
      </c>
      <c r="C90" s="402" t="s">
        <v>844</v>
      </c>
      <c r="D90" s="394" t="s">
        <v>1570</v>
      </c>
      <c r="E90" s="394" t="s">
        <v>1571</v>
      </c>
      <c r="F90" s="403" t="s">
        <v>1572</v>
      </c>
    </row>
    <row r="91" spans="1:6" ht="25.5" x14ac:dyDescent="0.25">
      <c r="A91" s="400" t="s">
        <v>644</v>
      </c>
      <c r="B91" s="404" t="s">
        <v>486</v>
      </c>
      <c r="C91" s="402" t="s">
        <v>844</v>
      </c>
      <c r="D91" s="394"/>
      <c r="E91" s="394"/>
      <c r="F91" s="406" t="s">
        <v>1573</v>
      </c>
    </row>
    <row r="92" spans="1:6" ht="38" x14ac:dyDescent="0.25">
      <c r="A92" s="400" t="s">
        <v>713</v>
      </c>
      <c r="B92" s="404" t="s">
        <v>1574</v>
      </c>
      <c r="C92" s="402" t="s">
        <v>548</v>
      </c>
      <c r="D92" s="394" t="s">
        <v>1575</v>
      </c>
      <c r="E92" s="394" t="s">
        <v>1576</v>
      </c>
      <c r="F92" s="403" t="s">
        <v>1577</v>
      </c>
    </row>
    <row r="93" spans="1:6" ht="25.5" x14ac:dyDescent="0.25">
      <c r="A93" s="400" t="s">
        <v>1279</v>
      </c>
      <c r="B93" s="404" t="s">
        <v>1280</v>
      </c>
      <c r="C93" s="402" t="s">
        <v>548</v>
      </c>
      <c r="D93" s="394" t="s">
        <v>1578</v>
      </c>
      <c r="E93" s="394" t="s">
        <v>1579</v>
      </c>
      <c r="F93" s="403" t="s">
        <v>1580</v>
      </c>
    </row>
    <row r="94" spans="1:6" ht="25.5" x14ac:dyDescent="0.25">
      <c r="A94" s="400" t="s">
        <v>634</v>
      </c>
      <c r="B94" s="404" t="s">
        <v>650</v>
      </c>
      <c r="C94" s="402" t="s">
        <v>548</v>
      </c>
      <c r="D94" s="394"/>
      <c r="E94" s="394"/>
      <c r="F94" s="406" t="s">
        <v>1581</v>
      </c>
    </row>
    <row r="95" spans="1:6" ht="13" x14ac:dyDescent="0.25">
      <c r="A95" s="400" t="s">
        <v>551</v>
      </c>
      <c r="B95" s="399"/>
      <c r="C95" s="402"/>
      <c r="D95" s="402"/>
      <c r="E95" s="402"/>
      <c r="F95" s="403"/>
    </row>
    <row r="96" spans="1:6" ht="13" x14ac:dyDescent="0.25">
      <c r="A96" s="400"/>
      <c r="B96" s="399"/>
      <c r="C96" s="402"/>
      <c r="D96" s="402"/>
      <c r="E96" s="402"/>
      <c r="F96" s="394"/>
    </row>
    <row r="97" spans="1:11" ht="13" x14ac:dyDescent="0.25">
      <c r="A97" s="400" t="s">
        <v>552</v>
      </c>
      <c r="B97" s="399"/>
      <c r="C97" s="402"/>
      <c r="D97" s="402"/>
      <c r="E97" s="402"/>
      <c r="F97" s="394"/>
    </row>
    <row r="98" spans="1:11" ht="62.5" x14ac:dyDescent="0.25">
      <c r="A98" s="400" t="s">
        <v>714</v>
      </c>
      <c r="B98" s="404" t="s">
        <v>1582</v>
      </c>
      <c r="C98" s="402" t="s">
        <v>1583</v>
      </c>
      <c r="D98" s="394" t="s">
        <v>1584</v>
      </c>
      <c r="E98" s="394" t="s">
        <v>1585</v>
      </c>
      <c r="F98" s="403" t="s">
        <v>1586</v>
      </c>
      <c r="K98" s="410"/>
    </row>
    <row r="99" spans="1:11" ht="38" x14ac:dyDescent="0.25">
      <c r="A99" s="400" t="s">
        <v>57</v>
      </c>
      <c r="B99" s="404" t="s">
        <v>1587</v>
      </c>
      <c r="C99" s="402" t="s">
        <v>1583</v>
      </c>
      <c r="D99" s="394" t="s">
        <v>1584</v>
      </c>
      <c r="E99" s="393" t="s">
        <v>1588</v>
      </c>
      <c r="F99" s="403" t="s">
        <v>1589</v>
      </c>
      <c r="K99" s="410"/>
    </row>
    <row r="100" spans="1:11" ht="87.5" x14ac:dyDescent="0.25">
      <c r="A100" s="400" t="s">
        <v>715</v>
      </c>
      <c r="B100" s="404" t="s">
        <v>1590</v>
      </c>
      <c r="C100" s="402" t="s">
        <v>1583</v>
      </c>
      <c r="D100" s="405" t="s">
        <v>1591</v>
      </c>
      <c r="E100" s="394" t="s">
        <v>1592</v>
      </c>
      <c r="F100" s="403" t="s">
        <v>1593</v>
      </c>
    </row>
    <row r="101" spans="1:11" ht="38" x14ac:dyDescent="0.25">
      <c r="A101" s="400" t="s">
        <v>716</v>
      </c>
      <c r="B101" s="404" t="s">
        <v>1594</v>
      </c>
      <c r="C101" s="402" t="s">
        <v>1583</v>
      </c>
      <c r="D101" s="394" t="s">
        <v>1584</v>
      </c>
      <c r="E101" s="393" t="s">
        <v>1595</v>
      </c>
      <c r="F101" s="403" t="s">
        <v>1596</v>
      </c>
    </row>
    <row r="102" spans="1:11" ht="50" x14ac:dyDescent="0.25">
      <c r="A102" s="400" t="s">
        <v>717</v>
      </c>
      <c r="B102" s="404" t="s">
        <v>1597</v>
      </c>
      <c r="C102" s="402" t="s">
        <v>1583</v>
      </c>
      <c r="D102" s="394" t="s">
        <v>1584</v>
      </c>
      <c r="E102" s="394" t="s">
        <v>1598</v>
      </c>
      <c r="F102" s="403" t="s">
        <v>1599</v>
      </c>
    </row>
    <row r="103" spans="1:11" ht="50.5" x14ac:dyDescent="0.25">
      <c r="A103" s="400" t="s">
        <v>718</v>
      </c>
      <c r="B103" s="404" t="s">
        <v>1600</v>
      </c>
      <c r="C103" s="402" t="s">
        <v>1583</v>
      </c>
      <c r="D103" s="394" t="s">
        <v>1584</v>
      </c>
      <c r="E103" s="394" t="s">
        <v>1601</v>
      </c>
      <c r="F103" s="406" t="s">
        <v>1602</v>
      </c>
    </row>
    <row r="104" spans="1:11" ht="50.5" x14ac:dyDescent="0.25">
      <c r="A104" s="400" t="s">
        <v>719</v>
      </c>
      <c r="B104" s="404" t="s">
        <v>1603</v>
      </c>
      <c r="C104" s="402" t="s">
        <v>1583</v>
      </c>
      <c r="D104" s="394" t="s">
        <v>1584</v>
      </c>
      <c r="E104" s="393" t="s">
        <v>1604</v>
      </c>
      <c r="F104" s="406" t="s">
        <v>1605</v>
      </c>
    </row>
    <row r="105" spans="1:11" ht="53.25" customHeight="1" x14ac:dyDescent="0.25">
      <c r="A105" s="400" t="s">
        <v>720</v>
      </c>
      <c r="B105" s="404" t="s">
        <v>1606</v>
      </c>
      <c r="C105" s="402" t="s">
        <v>1583</v>
      </c>
      <c r="D105" s="394" t="s">
        <v>1584</v>
      </c>
      <c r="E105" s="393" t="s">
        <v>1607</v>
      </c>
      <c r="F105" s="406" t="s">
        <v>1608</v>
      </c>
    </row>
    <row r="106" spans="1:11" ht="87.5" x14ac:dyDescent="0.25">
      <c r="A106" s="400" t="s">
        <v>721</v>
      </c>
      <c r="B106" s="404" t="s">
        <v>1609</v>
      </c>
      <c r="C106" s="402" t="s">
        <v>1583</v>
      </c>
      <c r="D106" s="394" t="s">
        <v>1584</v>
      </c>
      <c r="E106" s="394" t="s">
        <v>1610</v>
      </c>
      <c r="F106" s="406" t="s">
        <v>1611</v>
      </c>
    </row>
    <row r="107" spans="1:11" ht="38" x14ac:dyDescent="0.25">
      <c r="A107" s="400" t="s">
        <v>722</v>
      </c>
      <c r="B107" s="404" t="s">
        <v>1612</v>
      </c>
      <c r="C107" s="402" t="s">
        <v>1461</v>
      </c>
      <c r="D107" s="394" t="s">
        <v>1584</v>
      </c>
      <c r="E107" s="393" t="s">
        <v>1613</v>
      </c>
      <c r="F107" s="406" t="s">
        <v>1614</v>
      </c>
    </row>
    <row r="108" spans="1:11" ht="38" x14ac:dyDescent="0.25">
      <c r="A108" s="400" t="s">
        <v>58</v>
      </c>
      <c r="B108" s="404" t="s">
        <v>483</v>
      </c>
      <c r="C108" s="402" t="s">
        <v>1461</v>
      </c>
      <c r="D108" s="394" t="s">
        <v>1615</v>
      </c>
      <c r="E108" s="394" t="s">
        <v>1616</v>
      </c>
      <c r="F108" s="403" t="s">
        <v>1617</v>
      </c>
    </row>
    <row r="109" spans="1:11" ht="38" x14ac:dyDescent="0.25">
      <c r="A109" s="400" t="s">
        <v>59</v>
      </c>
      <c r="B109" s="404" t="s">
        <v>191</v>
      </c>
      <c r="C109" s="402" t="s">
        <v>1461</v>
      </c>
      <c r="D109" s="394" t="s">
        <v>1618</v>
      </c>
      <c r="E109" s="394" t="s">
        <v>1619</v>
      </c>
      <c r="F109" s="403" t="s">
        <v>1620</v>
      </c>
    </row>
    <row r="110" spans="1:11" ht="25.5" x14ac:dyDescent="0.25">
      <c r="A110" s="400" t="s">
        <v>615</v>
      </c>
      <c r="B110" s="404" t="s">
        <v>192</v>
      </c>
      <c r="C110" s="402" t="s">
        <v>1461</v>
      </c>
      <c r="D110" s="394"/>
      <c r="E110" s="394"/>
      <c r="F110" s="406" t="s">
        <v>1621</v>
      </c>
    </row>
    <row r="111" spans="1:11" ht="25.5" x14ac:dyDescent="0.25">
      <c r="A111" s="400" t="s">
        <v>1230</v>
      </c>
      <c r="B111" s="404" t="s">
        <v>1622</v>
      </c>
      <c r="C111" s="402" t="s">
        <v>1461</v>
      </c>
      <c r="D111" s="394"/>
      <c r="E111" s="394"/>
      <c r="F111" s="406" t="s">
        <v>1623</v>
      </c>
    </row>
    <row r="112" spans="1:11" ht="25.5" x14ac:dyDescent="0.25">
      <c r="A112" s="400" t="s">
        <v>1896</v>
      </c>
      <c r="B112" s="404" t="s">
        <v>1898</v>
      </c>
      <c r="C112" s="402" t="s">
        <v>1461</v>
      </c>
      <c r="D112" s="394"/>
      <c r="E112" s="394"/>
      <c r="F112" s="406" t="s">
        <v>1899</v>
      </c>
    </row>
    <row r="113" spans="1:6" ht="13" x14ac:dyDescent="0.25">
      <c r="A113" s="400" t="s">
        <v>1624</v>
      </c>
      <c r="B113" s="399"/>
      <c r="C113" s="402"/>
      <c r="D113" s="405"/>
      <c r="E113" s="393"/>
      <c r="F113" s="403"/>
    </row>
    <row r="114" spans="1:6" ht="87.5" x14ac:dyDescent="0.25">
      <c r="A114" s="400" t="s">
        <v>723</v>
      </c>
      <c r="B114" s="404" t="s">
        <v>1625</v>
      </c>
      <c r="C114" s="402" t="s">
        <v>548</v>
      </c>
      <c r="D114" s="394" t="s">
        <v>1626</v>
      </c>
      <c r="E114" s="394" t="s">
        <v>1627</v>
      </c>
      <c r="F114" s="403" t="s">
        <v>806</v>
      </c>
    </row>
    <row r="115" spans="1:6" ht="38" x14ac:dyDescent="0.25">
      <c r="A115" s="400" t="s">
        <v>60</v>
      </c>
      <c r="B115" s="404" t="s">
        <v>1184</v>
      </c>
      <c r="C115" s="402" t="s">
        <v>548</v>
      </c>
      <c r="D115" s="394" t="s">
        <v>1628</v>
      </c>
      <c r="E115" s="393" t="s">
        <v>1629</v>
      </c>
      <c r="F115" s="403" t="s">
        <v>1630</v>
      </c>
    </row>
    <row r="116" spans="1:6" ht="62.5" x14ac:dyDescent="0.25">
      <c r="A116" s="400" t="s">
        <v>724</v>
      </c>
      <c r="B116" s="404" t="s">
        <v>1631</v>
      </c>
      <c r="C116" s="402" t="s">
        <v>548</v>
      </c>
      <c r="D116" s="394" t="s">
        <v>1632</v>
      </c>
      <c r="E116" s="393" t="s">
        <v>1633</v>
      </c>
      <c r="F116" s="403" t="s">
        <v>807</v>
      </c>
    </row>
    <row r="117" spans="1:6" ht="50.5" x14ac:dyDescent="0.25">
      <c r="A117" s="400" t="s">
        <v>725</v>
      </c>
      <c r="B117" s="404" t="s">
        <v>1634</v>
      </c>
      <c r="C117" s="402" t="s">
        <v>548</v>
      </c>
      <c r="D117" s="394" t="s">
        <v>1584</v>
      </c>
      <c r="E117" s="394" t="s">
        <v>1635</v>
      </c>
      <c r="F117" s="403" t="s">
        <v>808</v>
      </c>
    </row>
    <row r="118" spans="1:6" ht="50.5" x14ac:dyDescent="0.25">
      <c r="A118" s="400" t="s">
        <v>351</v>
      </c>
      <c r="B118" s="404" t="s">
        <v>1636</v>
      </c>
      <c r="C118" s="402" t="s">
        <v>548</v>
      </c>
      <c r="D118" s="394" t="s">
        <v>1584</v>
      </c>
      <c r="E118" s="394" t="s">
        <v>1637</v>
      </c>
      <c r="F118" s="403" t="s">
        <v>336</v>
      </c>
    </row>
    <row r="119" spans="1:6" ht="50.5" x14ac:dyDescent="0.25">
      <c r="A119" s="400" t="s">
        <v>352</v>
      </c>
      <c r="B119" s="404" t="s">
        <v>1638</v>
      </c>
      <c r="C119" s="402" t="s">
        <v>548</v>
      </c>
      <c r="D119" s="394" t="s">
        <v>1584</v>
      </c>
      <c r="E119" s="394" t="s">
        <v>1639</v>
      </c>
      <c r="F119" s="403" t="s">
        <v>337</v>
      </c>
    </row>
    <row r="120" spans="1:6" ht="63.5" x14ac:dyDescent="0.25">
      <c r="A120" s="400" t="s">
        <v>353</v>
      </c>
      <c r="B120" s="404" t="s">
        <v>1640</v>
      </c>
      <c r="C120" s="402" t="s">
        <v>548</v>
      </c>
      <c r="D120" s="394" t="s">
        <v>1584</v>
      </c>
      <c r="E120" s="394" t="s">
        <v>1641</v>
      </c>
      <c r="F120" s="403" t="s">
        <v>348</v>
      </c>
    </row>
    <row r="121" spans="1:6" ht="50.5" x14ac:dyDescent="0.25">
      <c r="A121" s="400" t="s">
        <v>66</v>
      </c>
      <c r="B121" s="404" t="s">
        <v>1642</v>
      </c>
      <c r="C121" s="402" t="s">
        <v>548</v>
      </c>
      <c r="D121" s="394" t="s">
        <v>1584</v>
      </c>
      <c r="E121" s="393" t="s">
        <v>1643</v>
      </c>
      <c r="F121" s="403" t="s">
        <v>65</v>
      </c>
    </row>
    <row r="122" spans="1:6" ht="15.5" x14ac:dyDescent="0.25">
      <c r="A122" s="396" t="s">
        <v>815</v>
      </c>
      <c r="B122" s="401"/>
      <c r="C122" s="402"/>
      <c r="D122" s="402"/>
      <c r="E122" s="393"/>
      <c r="F122" s="403"/>
    </row>
    <row r="123" spans="1:6" x14ac:dyDescent="0.25">
      <c r="A123" s="411" t="s">
        <v>847</v>
      </c>
      <c r="B123" s="401"/>
      <c r="C123" s="402"/>
      <c r="D123" s="402"/>
      <c r="E123" s="393"/>
      <c r="F123" s="403"/>
    </row>
    <row r="124" spans="1:6" ht="13" x14ac:dyDescent="0.25">
      <c r="A124" s="400" t="s">
        <v>553</v>
      </c>
      <c r="B124" s="399"/>
      <c r="C124" s="402"/>
      <c r="D124" s="402"/>
      <c r="E124" s="393"/>
      <c r="F124" s="403"/>
    </row>
    <row r="125" spans="1:6" ht="13" x14ac:dyDescent="0.25">
      <c r="A125" s="400"/>
      <c r="B125" s="399"/>
      <c r="C125" s="402"/>
      <c r="D125" s="402"/>
      <c r="E125" s="393"/>
      <c r="F125" s="403"/>
    </row>
    <row r="126" spans="1:6" ht="13" x14ac:dyDescent="0.25">
      <c r="A126" s="400" t="s">
        <v>1644</v>
      </c>
      <c r="B126" s="399"/>
      <c r="C126" s="402"/>
      <c r="D126" s="402"/>
      <c r="E126" s="393"/>
      <c r="F126" s="403"/>
    </row>
    <row r="127" spans="1:6" ht="76.5" customHeight="1" x14ac:dyDescent="0.25">
      <c r="A127" s="400" t="s">
        <v>967</v>
      </c>
      <c r="B127" s="404" t="s">
        <v>1261</v>
      </c>
      <c r="C127" s="402" t="s">
        <v>1583</v>
      </c>
      <c r="D127" s="401" t="s">
        <v>1645</v>
      </c>
      <c r="E127" s="394" t="s">
        <v>1646</v>
      </c>
      <c r="F127" s="403" t="s">
        <v>1599</v>
      </c>
    </row>
    <row r="128" spans="1:6" ht="62.5" x14ac:dyDescent="0.25">
      <c r="A128" s="400" t="s">
        <v>968</v>
      </c>
      <c r="B128" s="404" t="s">
        <v>1647</v>
      </c>
      <c r="C128" s="402" t="s">
        <v>1583</v>
      </c>
      <c r="D128" s="401" t="s">
        <v>1648</v>
      </c>
      <c r="E128" s="394" t="s">
        <v>1649</v>
      </c>
      <c r="F128" s="403" t="s">
        <v>1650</v>
      </c>
    </row>
    <row r="129" spans="1:11" ht="87.5" x14ac:dyDescent="0.25">
      <c r="A129" s="400" t="s">
        <v>969</v>
      </c>
      <c r="B129" s="404" t="s">
        <v>1651</v>
      </c>
      <c r="C129" s="402" t="s">
        <v>1583</v>
      </c>
      <c r="D129" s="401" t="s">
        <v>1652</v>
      </c>
      <c r="E129" s="394" t="s">
        <v>1653</v>
      </c>
      <c r="F129" s="403" t="s">
        <v>1654</v>
      </c>
    </row>
    <row r="130" spans="1:11" ht="50.5" x14ac:dyDescent="0.25">
      <c r="A130" s="400" t="s">
        <v>656</v>
      </c>
      <c r="B130" s="404" t="s">
        <v>1655</v>
      </c>
      <c r="C130" s="402" t="str">
        <f>IF(_WAEH=2,"DM/m²","Euro/m²")</f>
        <v>Euro/m²</v>
      </c>
      <c r="D130" s="401"/>
      <c r="E130" s="394"/>
      <c r="F130" s="406" t="s">
        <v>1656</v>
      </c>
    </row>
    <row r="131" spans="1:11" ht="63.5" x14ac:dyDescent="0.25">
      <c r="A131" s="400" t="s">
        <v>970</v>
      </c>
      <c r="B131" s="404" t="s">
        <v>1657</v>
      </c>
      <c r="C131" s="402" t="s">
        <v>1583</v>
      </c>
      <c r="D131" s="401" t="s">
        <v>1658</v>
      </c>
      <c r="E131" s="401" t="s">
        <v>1659</v>
      </c>
      <c r="F131" s="403" t="s">
        <v>1660</v>
      </c>
    </row>
    <row r="132" spans="1:11" ht="75" x14ac:dyDescent="0.25">
      <c r="A132" s="400" t="s">
        <v>971</v>
      </c>
      <c r="B132" s="404" t="s">
        <v>1661</v>
      </c>
      <c r="C132" s="402" t="s">
        <v>1583</v>
      </c>
      <c r="D132" s="401" t="s">
        <v>1662</v>
      </c>
      <c r="E132" s="401" t="s">
        <v>1663</v>
      </c>
      <c r="F132" s="403" t="s">
        <v>1664</v>
      </c>
    </row>
    <row r="133" spans="1:11" ht="100" x14ac:dyDescent="0.25">
      <c r="A133" s="400" t="s">
        <v>972</v>
      </c>
      <c r="B133" s="404" t="s">
        <v>1665</v>
      </c>
      <c r="C133" s="402" t="s">
        <v>1583</v>
      </c>
      <c r="D133" s="401" t="s">
        <v>1666</v>
      </c>
      <c r="E133" s="401" t="s">
        <v>1667</v>
      </c>
      <c r="F133" s="403" t="s">
        <v>1668</v>
      </c>
    </row>
    <row r="134" spans="1:11" ht="75" x14ac:dyDescent="0.25">
      <c r="A134" s="400" t="s">
        <v>973</v>
      </c>
      <c r="B134" s="404" t="s">
        <v>1669</v>
      </c>
      <c r="C134" s="402" t="s">
        <v>1583</v>
      </c>
      <c r="D134" s="401" t="s">
        <v>1670</v>
      </c>
      <c r="E134" s="401" t="s">
        <v>1671</v>
      </c>
      <c r="F134" s="403" t="s">
        <v>1672</v>
      </c>
    </row>
    <row r="135" spans="1:11" ht="75" x14ac:dyDescent="0.25">
      <c r="A135" s="400" t="s">
        <v>974</v>
      </c>
      <c r="B135" s="404" t="s">
        <v>1673</v>
      </c>
      <c r="C135" s="402" t="s">
        <v>1583</v>
      </c>
      <c r="D135" s="401" t="s">
        <v>1674</v>
      </c>
      <c r="E135" s="401" t="s">
        <v>1675</v>
      </c>
      <c r="F135" s="403" t="s">
        <v>1676</v>
      </c>
    </row>
    <row r="136" spans="1:11" x14ac:dyDescent="0.25">
      <c r="A136" s="399"/>
      <c r="B136" s="399"/>
      <c r="C136" s="402"/>
      <c r="D136" s="402"/>
      <c r="E136" s="402"/>
      <c r="F136" s="403"/>
    </row>
    <row r="137" spans="1:11" ht="13" x14ac:dyDescent="0.25">
      <c r="A137" s="400" t="s">
        <v>1677</v>
      </c>
      <c r="B137" s="399"/>
      <c r="C137" s="402"/>
      <c r="D137" s="402"/>
      <c r="E137" s="402"/>
      <c r="F137" s="403"/>
      <c r="K137" s="33"/>
    </row>
    <row r="138" spans="1:11" ht="89.25" customHeight="1" x14ac:dyDescent="0.25">
      <c r="A138" s="400" t="s">
        <v>726</v>
      </c>
      <c r="B138" s="404" t="s">
        <v>1678</v>
      </c>
      <c r="C138" s="402" t="s">
        <v>548</v>
      </c>
      <c r="D138" s="401" t="s">
        <v>1679</v>
      </c>
      <c r="E138" s="401" t="s">
        <v>1680</v>
      </c>
      <c r="F138" s="403" t="s">
        <v>1681</v>
      </c>
    </row>
    <row r="139" spans="1:11" ht="63.75" customHeight="1" x14ac:dyDescent="0.25">
      <c r="A139" s="400" t="s">
        <v>727</v>
      </c>
      <c r="B139" s="404" t="s">
        <v>1682</v>
      </c>
      <c r="C139" s="402" t="s">
        <v>548</v>
      </c>
      <c r="D139" s="401" t="s">
        <v>1683</v>
      </c>
      <c r="E139" s="401" t="s">
        <v>1684</v>
      </c>
      <c r="F139" s="403" t="s">
        <v>1685</v>
      </c>
    </row>
    <row r="140" spans="1:11" ht="62.5" x14ac:dyDescent="0.25">
      <c r="A140" s="400" t="s">
        <v>728</v>
      </c>
      <c r="B140" s="404" t="s">
        <v>1686</v>
      </c>
      <c r="C140" s="402" t="s">
        <v>548</v>
      </c>
      <c r="D140" s="401" t="s">
        <v>1687</v>
      </c>
      <c r="E140" s="401" t="s">
        <v>1649</v>
      </c>
      <c r="F140" s="403" t="s">
        <v>1688</v>
      </c>
    </row>
    <row r="141" spans="1:11" ht="87.5" x14ac:dyDescent="0.25">
      <c r="A141" s="400" t="s">
        <v>729</v>
      </c>
      <c r="B141" s="404" t="s">
        <v>1689</v>
      </c>
      <c r="C141" s="402" t="s">
        <v>548</v>
      </c>
      <c r="D141" s="401" t="s">
        <v>1690</v>
      </c>
      <c r="E141" s="401" t="s">
        <v>1653</v>
      </c>
      <c r="F141" s="403" t="s">
        <v>1691</v>
      </c>
    </row>
    <row r="142" spans="1:11" ht="62.5" x14ac:dyDescent="0.25">
      <c r="A142" s="400" t="s">
        <v>730</v>
      </c>
      <c r="B142" s="404" t="s">
        <v>1692</v>
      </c>
      <c r="C142" s="402" t="s">
        <v>548</v>
      </c>
      <c r="D142" s="401" t="s">
        <v>1693</v>
      </c>
      <c r="E142" s="401" t="s">
        <v>1659</v>
      </c>
      <c r="F142" s="403" t="s">
        <v>1694</v>
      </c>
    </row>
    <row r="143" spans="1:11" ht="50" x14ac:dyDescent="0.25">
      <c r="A143" s="400" t="s">
        <v>30</v>
      </c>
      <c r="B143" s="404" t="s">
        <v>1190</v>
      </c>
      <c r="C143" s="402" t="s">
        <v>548</v>
      </c>
      <c r="D143" s="401" t="s">
        <v>1695</v>
      </c>
      <c r="E143" s="401" t="s">
        <v>1483</v>
      </c>
      <c r="F143" s="403" t="s">
        <v>1696</v>
      </c>
    </row>
    <row r="144" spans="1:11" ht="75" x14ac:dyDescent="0.25">
      <c r="A144" s="400" t="s">
        <v>731</v>
      </c>
      <c r="B144" s="404" t="s">
        <v>1697</v>
      </c>
      <c r="C144" s="402" t="s">
        <v>548</v>
      </c>
      <c r="D144" s="401" t="s">
        <v>1698</v>
      </c>
      <c r="E144" s="401" t="s">
        <v>1663</v>
      </c>
      <c r="F144" s="403" t="s">
        <v>1699</v>
      </c>
    </row>
    <row r="145" spans="1:6" ht="87.5" x14ac:dyDescent="0.25">
      <c r="A145" s="400" t="s">
        <v>61</v>
      </c>
      <c r="B145" s="404" t="s">
        <v>1700</v>
      </c>
      <c r="C145" s="402" t="s">
        <v>548</v>
      </c>
      <c r="D145" s="401" t="s">
        <v>1701</v>
      </c>
      <c r="E145" s="401" t="s">
        <v>1702</v>
      </c>
      <c r="F145" s="403" t="s">
        <v>1703</v>
      </c>
    </row>
    <row r="146" spans="1:6" ht="100" x14ac:dyDescent="0.25">
      <c r="A146" s="400" t="s">
        <v>732</v>
      </c>
      <c r="B146" s="404" t="s">
        <v>1704</v>
      </c>
      <c r="C146" s="402" t="s">
        <v>548</v>
      </c>
      <c r="D146" s="401" t="s">
        <v>1705</v>
      </c>
      <c r="E146" s="401" t="s">
        <v>1706</v>
      </c>
      <c r="F146" s="403" t="s">
        <v>1707</v>
      </c>
    </row>
    <row r="147" spans="1:6" ht="62.5" x14ac:dyDescent="0.25">
      <c r="A147" s="400" t="s">
        <v>733</v>
      </c>
      <c r="B147" s="404" t="s">
        <v>1708</v>
      </c>
      <c r="C147" s="402" t="s">
        <v>548</v>
      </c>
      <c r="D147" s="401" t="s">
        <v>1709</v>
      </c>
      <c r="E147" s="401" t="s">
        <v>1710</v>
      </c>
      <c r="F147" s="403" t="s">
        <v>1711</v>
      </c>
    </row>
    <row r="148" spans="1:6" ht="62.5" x14ac:dyDescent="0.25">
      <c r="A148" s="400" t="s">
        <v>734</v>
      </c>
      <c r="B148" s="404" t="s">
        <v>1712</v>
      </c>
      <c r="C148" s="402" t="s">
        <v>548</v>
      </c>
      <c r="D148" s="401" t="s">
        <v>1713</v>
      </c>
      <c r="E148" s="401" t="s">
        <v>1714</v>
      </c>
      <c r="F148" s="403" t="s">
        <v>1715</v>
      </c>
    </row>
    <row r="149" spans="1:6" ht="38" x14ac:dyDescent="0.25">
      <c r="A149" s="400" t="s">
        <v>62</v>
      </c>
      <c r="B149" s="404" t="s">
        <v>495</v>
      </c>
      <c r="C149" s="402" t="s">
        <v>548</v>
      </c>
      <c r="D149" s="401" t="s">
        <v>1716</v>
      </c>
      <c r="E149" s="401" t="s">
        <v>1717</v>
      </c>
      <c r="F149" s="403" t="s">
        <v>1718</v>
      </c>
    </row>
    <row r="150" spans="1:6" ht="50" x14ac:dyDescent="0.25">
      <c r="A150" s="400" t="s">
        <v>63</v>
      </c>
      <c r="B150" s="404" t="s">
        <v>496</v>
      </c>
      <c r="C150" s="402" t="s">
        <v>548</v>
      </c>
      <c r="D150" s="401" t="s">
        <v>1719</v>
      </c>
      <c r="E150" s="401" t="s">
        <v>1720</v>
      </c>
      <c r="F150" s="403" t="s">
        <v>1721</v>
      </c>
    </row>
    <row r="151" spans="1:6" ht="76.5" customHeight="1" x14ac:dyDescent="0.25">
      <c r="A151" s="400" t="s">
        <v>31</v>
      </c>
      <c r="B151" s="404" t="s">
        <v>1254</v>
      </c>
      <c r="C151" s="402" t="s">
        <v>548</v>
      </c>
      <c r="D151" s="401" t="s">
        <v>1722</v>
      </c>
      <c r="E151" s="401" t="s">
        <v>1723</v>
      </c>
      <c r="F151" s="403" t="s">
        <v>1724</v>
      </c>
    </row>
    <row r="152" spans="1:6" ht="38" x14ac:dyDescent="0.25">
      <c r="A152" s="400" t="s">
        <v>616</v>
      </c>
      <c r="B152" s="404" t="s">
        <v>1255</v>
      </c>
      <c r="C152" s="402" t="s">
        <v>1136</v>
      </c>
      <c r="D152" s="401"/>
      <c r="E152" s="401"/>
      <c r="F152" s="406" t="s">
        <v>1725</v>
      </c>
    </row>
    <row r="153" spans="1:6" ht="13" x14ac:dyDescent="0.25">
      <c r="A153" s="400" t="s">
        <v>554</v>
      </c>
      <c r="B153" s="399"/>
      <c r="C153" s="402"/>
      <c r="D153" s="402"/>
      <c r="E153" s="402"/>
      <c r="F153" s="403"/>
    </row>
    <row r="154" spans="1:6" ht="239" x14ac:dyDescent="0.25">
      <c r="A154" s="400" t="s">
        <v>735</v>
      </c>
      <c r="B154" s="404" t="s">
        <v>1726</v>
      </c>
      <c r="C154" s="402" t="s">
        <v>1727</v>
      </c>
      <c r="D154" s="394" t="s">
        <v>1728</v>
      </c>
      <c r="E154" s="394" t="s">
        <v>1729</v>
      </c>
      <c r="F154" s="403" t="s">
        <v>1730</v>
      </c>
    </row>
    <row r="155" spans="1:6" ht="38" x14ac:dyDescent="0.25">
      <c r="A155" s="400" t="s">
        <v>780</v>
      </c>
      <c r="B155" s="404" t="s">
        <v>497</v>
      </c>
      <c r="C155" s="399" t="str">
        <f>IF(_WAEH=2,"DM/Mitarb.","Euro/Mitarb.")</f>
        <v>Euro/Mitarb.</v>
      </c>
      <c r="D155" s="394"/>
      <c r="E155" s="394"/>
      <c r="F155" s="406" t="s">
        <v>1731</v>
      </c>
    </row>
    <row r="156" spans="1:6" ht="38" x14ac:dyDescent="0.25">
      <c r="A156" s="400" t="s">
        <v>783</v>
      </c>
      <c r="B156" s="404" t="s">
        <v>498</v>
      </c>
      <c r="C156" s="399" t="str">
        <f>IF(_WAEH=2,"DM/Mitarb.","Euro/Mitarb.")</f>
        <v>Euro/Mitarb.</v>
      </c>
      <c r="D156" s="394"/>
      <c r="E156" s="394"/>
      <c r="F156" s="406" t="s">
        <v>1732</v>
      </c>
    </row>
    <row r="157" spans="1:6" ht="126.5" x14ac:dyDescent="0.25">
      <c r="A157" s="400" t="s">
        <v>736</v>
      </c>
      <c r="B157" s="404" t="s">
        <v>1733</v>
      </c>
      <c r="C157" s="408" t="s">
        <v>1734</v>
      </c>
      <c r="D157" s="394" t="s">
        <v>1735</v>
      </c>
      <c r="E157" s="394" t="s">
        <v>1736</v>
      </c>
      <c r="F157" s="403" t="s">
        <v>1737</v>
      </c>
    </row>
    <row r="158" spans="1:6" ht="50.5" x14ac:dyDescent="0.25">
      <c r="A158" s="400" t="s">
        <v>737</v>
      </c>
      <c r="B158" s="404" t="s">
        <v>1738</v>
      </c>
      <c r="C158" s="408" t="s">
        <v>1734</v>
      </c>
      <c r="D158" s="394" t="s">
        <v>1739</v>
      </c>
      <c r="E158" s="394" t="s">
        <v>1739</v>
      </c>
      <c r="F158" s="403" t="s">
        <v>1740</v>
      </c>
    </row>
    <row r="159" spans="1:6" ht="168" customHeight="1" x14ac:dyDescent="0.25">
      <c r="A159" s="400" t="s">
        <v>738</v>
      </c>
      <c r="B159" s="404" t="s">
        <v>1741</v>
      </c>
      <c r="C159" s="408" t="s">
        <v>1734</v>
      </c>
      <c r="D159" s="394" t="s">
        <v>1742</v>
      </c>
      <c r="E159" s="394" t="s">
        <v>1743</v>
      </c>
      <c r="F159" s="403" t="s">
        <v>1744</v>
      </c>
    </row>
    <row r="160" spans="1:6" ht="62.5" x14ac:dyDescent="0.25">
      <c r="A160" s="400" t="s">
        <v>739</v>
      </c>
      <c r="B160" s="404" t="s">
        <v>1745</v>
      </c>
      <c r="C160" s="402" t="s">
        <v>1746</v>
      </c>
      <c r="D160" s="394" t="s">
        <v>1747</v>
      </c>
      <c r="E160" s="394" t="s">
        <v>1748</v>
      </c>
      <c r="F160" s="403" t="s">
        <v>1749</v>
      </c>
    </row>
    <row r="161" spans="1:6" ht="38" x14ac:dyDescent="0.25">
      <c r="A161" s="400" t="s">
        <v>1299</v>
      </c>
      <c r="B161" s="404" t="s">
        <v>1750</v>
      </c>
      <c r="C161" s="402" t="s">
        <v>548</v>
      </c>
      <c r="D161" s="394"/>
      <c r="E161" s="394"/>
      <c r="F161" s="403" t="s">
        <v>1751</v>
      </c>
    </row>
    <row r="162" spans="1:6" ht="25.5" x14ac:dyDescent="0.25">
      <c r="A162" s="400" t="s">
        <v>1300</v>
      </c>
      <c r="B162" s="404" t="s">
        <v>1752</v>
      </c>
      <c r="C162" s="402" t="s">
        <v>548</v>
      </c>
      <c r="D162" s="394"/>
      <c r="E162" s="394"/>
      <c r="F162" s="403" t="s">
        <v>1753</v>
      </c>
    </row>
    <row r="163" spans="1:6" ht="38" x14ac:dyDescent="0.25">
      <c r="A163" s="400" t="s">
        <v>740</v>
      </c>
      <c r="B163" s="404" t="s">
        <v>1754</v>
      </c>
      <c r="C163" s="402" t="s">
        <v>1746</v>
      </c>
      <c r="D163" s="399" t="s">
        <v>1755</v>
      </c>
      <c r="E163" s="399" t="s">
        <v>1756</v>
      </c>
      <c r="F163" s="403" t="s">
        <v>1757</v>
      </c>
    </row>
    <row r="164" spans="1:6" ht="50.5" x14ac:dyDescent="0.25">
      <c r="A164" s="400" t="s">
        <v>741</v>
      </c>
      <c r="B164" s="404" t="s">
        <v>1758</v>
      </c>
      <c r="C164" s="402" t="s">
        <v>1746</v>
      </c>
      <c r="D164" s="399" t="s">
        <v>1755</v>
      </c>
      <c r="E164" s="399" t="s">
        <v>1756</v>
      </c>
      <c r="F164" s="403" t="s">
        <v>1759</v>
      </c>
    </row>
    <row r="165" spans="1:6" ht="65.150000000000006" customHeight="1" x14ac:dyDescent="0.25">
      <c r="A165" s="400" t="s">
        <v>742</v>
      </c>
      <c r="B165" s="404" t="s">
        <v>1760</v>
      </c>
      <c r="C165" s="408" t="s">
        <v>67</v>
      </c>
      <c r="D165" s="394" t="s">
        <v>1761</v>
      </c>
      <c r="E165" s="399" t="s">
        <v>1756</v>
      </c>
      <c r="F165" s="403" t="s">
        <v>1762</v>
      </c>
    </row>
    <row r="166" spans="1:6" ht="15.75" hidden="1" customHeight="1" x14ac:dyDescent="0.25">
      <c r="A166" s="400" t="s">
        <v>1763</v>
      </c>
      <c r="B166" s="399"/>
      <c r="C166" s="402"/>
      <c r="D166" s="402"/>
      <c r="E166" s="402"/>
      <c r="F166" s="403"/>
    </row>
    <row r="167" spans="1:6" ht="13" hidden="1" x14ac:dyDescent="0.25">
      <c r="A167" s="400" t="s">
        <v>1764</v>
      </c>
      <c r="B167" s="399"/>
      <c r="C167" s="402"/>
      <c r="D167" s="402"/>
      <c r="E167" s="402"/>
      <c r="F167" s="403"/>
    </row>
    <row r="168" spans="1:6" ht="25" hidden="1" x14ac:dyDescent="0.25">
      <c r="A168" s="412" t="s">
        <v>975</v>
      </c>
      <c r="B168" s="413" t="s">
        <v>922</v>
      </c>
      <c r="C168" s="117" t="s">
        <v>923</v>
      </c>
      <c r="D168" s="402"/>
      <c r="E168" s="402"/>
      <c r="F168" s="414" t="s">
        <v>1765</v>
      </c>
    </row>
    <row r="169" spans="1:6" ht="13" hidden="1" x14ac:dyDescent="0.25">
      <c r="A169" s="412" t="s">
        <v>1064</v>
      </c>
      <c r="B169" s="413" t="s">
        <v>924</v>
      </c>
      <c r="C169" s="117" t="s">
        <v>925</v>
      </c>
      <c r="D169" s="402"/>
      <c r="E169" s="402"/>
      <c r="F169" s="414" t="s">
        <v>714</v>
      </c>
    </row>
    <row r="170" spans="1:6" ht="13" hidden="1" x14ac:dyDescent="0.25">
      <c r="A170" s="412" t="s">
        <v>1065</v>
      </c>
      <c r="B170" s="413" t="s">
        <v>926</v>
      </c>
      <c r="C170" s="117" t="s">
        <v>925</v>
      </c>
      <c r="D170" s="402"/>
      <c r="E170" s="402"/>
      <c r="F170" s="414" t="s">
        <v>716</v>
      </c>
    </row>
    <row r="171" spans="1:6" ht="13" hidden="1" x14ac:dyDescent="0.25">
      <c r="A171" s="412" t="s">
        <v>1066</v>
      </c>
      <c r="B171" s="413" t="s">
        <v>927</v>
      </c>
      <c r="C171" s="117" t="s">
        <v>548</v>
      </c>
      <c r="D171" s="402"/>
      <c r="E171" s="402"/>
      <c r="F171" s="414" t="s">
        <v>724</v>
      </c>
    </row>
    <row r="172" spans="1:6" ht="13" hidden="1" x14ac:dyDescent="0.25">
      <c r="A172" s="412" t="s">
        <v>1067</v>
      </c>
      <c r="B172" s="413" t="s">
        <v>928</v>
      </c>
      <c r="C172" s="117" t="s">
        <v>548</v>
      </c>
      <c r="D172" s="402"/>
      <c r="E172" s="402"/>
      <c r="F172" s="414" t="s">
        <v>353</v>
      </c>
    </row>
    <row r="173" spans="1:6" ht="13" hidden="1" x14ac:dyDescent="0.25">
      <c r="A173" s="412" t="s">
        <v>1068</v>
      </c>
      <c r="B173" s="413" t="s">
        <v>333</v>
      </c>
      <c r="C173" s="117" t="s">
        <v>929</v>
      </c>
      <c r="D173" s="402"/>
      <c r="E173" s="402"/>
      <c r="F173" s="414" t="s">
        <v>1617</v>
      </c>
    </row>
    <row r="174" spans="1:6" ht="25" hidden="1" x14ac:dyDescent="0.25">
      <c r="A174" s="412" t="s">
        <v>1277</v>
      </c>
      <c r="B174" s="413" t="s">
        <v>930</v>
      </c>
      <c r="C174" s="117" t="s">
        <v>929</v>
      </c>
      <c r="D174" s="402"/>
      <c r="E174" s="402"/>
      <c r="F174" s="414" t="s">
        <v>59</v>
      </c>
    </row>
    <row r="175" spans="1:6" ht="13" hidden="1" x14ac:dyDescent="0.25">
      <c r="A175" s="412" t="s">
        <v>1069</v>
      </c>
      <c r="B175" s="413" t="s">
        <v>1145</v>
      </c>
      <c r="C175" s="117" t="s">
        <v>334</v>
      </c>
      <c r="D175" s="402"/>
      <c r="E175" s="402"/>
      <c r="F175" s="414" t="s">
        <v>361</v>
      </c>
    </row>
    <row r="176" spans="1:6" ht="13" hidden="1" x14ac:dyDescent="0.25">
      <c r="A176" s="412" t="s">
        <v>1070</v>
      </c>
      <c r="B176" s="413" t="s">
        <v>931</v>
      </c>
      <c r="C176" s="117" t="s">
        <v>334</v>
      </c>
      <c r="D176" s="402"/>
      <c r="E176" s="402"/>
      <c r="F176" s="414" t="s">
        <v>1100</v>
      </c>
    </row>
    <row r="177" spans="1:6" ht="13" hidden="1" x14ac:dyDescent="0.25">
      <c r="A177" s="412" t="s">
        <v>1071</v>
      </c>
      <c r="B177" s="413" t="s">
        <v>932</v>
      </c>
      <c r="C177" s="117" t="s">
        <v>334</v>
      </c>
      <c r="D177" s="402"/>
      <c r="E177" s="402"/>
      <c r="F177" s="414" t="s">
        <v>1101</v>
      </c>
    </row>
    <row r="178" spans="1:6" ht="13" hidden="1" x14ac:dyDescent="0.25">
      <c r="A178" s="400" t="s">
        <v>1766</v>
      </c>
      <c r="B178" s="399"/>
      <c r="C178" s="402"/>
      <c r="D178" s="402"/>
      <c r="E178" s="402"/>
      <c r="F178" s="403"/>
    </row>
    <row r="179" spans="1:6" ht="13" hidden="1" x14ac:dyDescent="0.25">
      <c r="A179" s="412" t="s">
        <v>1072</v>
      </c>
      <c r="B179" s="413" t="s">
        <v>537</v>
      </c>
      <c r="C179" s="117" t="s">
        <v>935</v>
      </c>
      <c r="D179" s="402"/>
      <c r="E179" s="402"/>
      <c r="F179" s="414" t="s">
        <v>895</v>
      </c>
    </row>
    <row r="180" spans="1:6" ht="13" hidden="1" x14ac:dyDescent="0.25">
      <c r="A180" s="412" t="s">
        <v>1073</v>
      </c>
      <c r="B180" s="413" t="s">
        <v>936</v>
      </c>
      <c r="C180" s="117" t="s">
        <v>548</v>
      </c>
      <c r="D180" s="402"/>
      <c r="E180" s="402"/>
      <c r="F180" s="414" t="s">
        <v>697</v>
      </c>
    </row>
    <row r="181" spans="1:6" ht="13" hidden="1" x14ac:dyDescent="0.25">
      <c r="A181" s="400" t="s">
        <v>1767</v>
      </c>
      <c r="B181" s="399"/>
      <c r="C181" s="402"/>
      <c r="D181" s="402"/>
      <c r="E181" s="402"/>
      <c r="F181" s="403"/>
    </row>
    <row r="182" spans="1:6" ht="13" hidden="1" x14ac:dyDescent="0.25">
      <c r="A182" s="412" t="s">
        <v>1076</v>
      </c>
      <c r="B182" s="413" t="s">
        <v>1430</v>
      </c>
      <c r="C182" s="117" t="s">
        <v>1199</v>
      </c>
      <c r="D182" s="402"/>
      <c r="E182" s="402"/>
      <c r="F182" s="414" t="s">
        <v>904</v>
      </c>
    </row>
    <row r="183" spans="1:6" ht="13" hidden="1" x14ac:dyDescent="0.25">
      <c r="A183" s="412" t="s">
        <v>1077</v>
      </c>
      <c r="B183" s="413" t="s">
        <v>942</v>
      </c>
      <c r="C183" s="117" t="s">
        <v>1199</v>
      </c>
      <c r="D183" s="402"/>
      <c r="E183" s="402"/>
      <c r="F183" s="414" t="s">
        <v>905</v>
      </c>
    </row>
    <row r="184" spans="1:6" ht="13" hidden="1" x14ac:dyDescent="0.25">
      <c r="A184" s="412" t="s">
        <v>1078</v>
      </c>
      <c r="B184" s="413" t="s">
        <v>1768</v>
      </c>
      <c r="C184" s="117" t="s">
        <v>1199</v>
      </c>
      <c r="D184" s="402"/>
      <c r="E184" s="402"/>
      <c r="F184" s="414" t="s">
        <v>1769</v>
      </c>
    </row>
    <row r="185" spans="1:6" ht="13" hidden="1" x14ac:dyDescent="0.25">
      <c r="A185" s="412" t="s">
        <v>1079</v>
      </c>
      <c r="B185" s="413" t="s">
        <v>542</v>
      </c>
      <c r="C185" s="117" t="s">
        <v>1199</v>
      </c>
      <c r="D185" s="402"/>
      <c r="E185" s="402"/>
      <c r="F185" s="414" t="s">
        <v>684</v>
      </c>
    </row>
    <row r="186" spans="1:6" ht="13" hidden="1" x14ac:dyDescent="0.25">
      <c r="A186" s="412" t="s">
        <v>1080</v>
      </c>
      <c r="B186" s="413" t="s">
        <v>943</v>
      </c>
      <c r="C186" s="117" t="s">
        <v>1199</v>
      </c>
      <c r="D186" s="402"/>
      <c r="E186" s="402"/>
      <c r="F186" s="414" t="s">
        <v>903</v>
      </c>
    </row>
    <row r="187" spans="1:6" ht="37.5" hidden="1" x14ac:dyDescent="0.25">
      <c r="A187" s="412" t="s">
        <v>1081</v>
      </c>
      <c r="B187" s="413" t="s">
        <v>1232</v>
      </c>
      <c r="C187" s="117" t="s">
        <v>1199</v>
      </c>
      <c r="D187" s="402"/>
      <c r="E187" s="402"/>
      <c r="F187" s="414" t="s">
        <v>1770</v>
      </c>
    </row>
    <row r="188" spans="1:6" ht="25" hidden="1" x14ac:dyDescent="0.25">
      <c r="A188" s="412" t="s">
        <v>1082</v>
      </c>
      <c r="B188" s="413" t="s">
        <v>944</v>
      </c>
      <c r="C188" s="117" t="s">
        <v>1136</v>
      </c>
      <c r="D188" s="402"/>
      <c r="E188" s="402"/>
      <c r="F188" s="414" t="s">
        <v>1771</v>
      </c>
    </row>
    <row r="189" spans="1:6" ht="13" hidden="1" x14ac:dyDescent="0.25">
      <c r="A189" s="412" t="s">
        <v>1083</v>
      </c>
      <c r="B189" s="413" t="s">
        <v>945</v>
      </c>
      <c r="C189" s="117" t="s">
        <v>1199</v>
      </c>
      <c r="D189" s="402"/>
      <c r="E189" s="402"/>
      <c r="F189" s="414" t="s">
        <v>1772</v>
      </c>
    </row>
    <row r="190" spans="1:6" ht="13" hidden="1" x14ac:dyDescent="0.25">
      <c r="A190" s="412" t="s">
        <v>1084</v>
      </c>
      <c r="B190" s="413" t="s">
        <v>946</v>
      </c>
      <c r="C190" s="117" t="s">
        <v>1199</v>
      </c>
      <c r="D190" s="402"/>
      <c r="E190" s="402"/>
      <c r="F190" s="414" t="s">
        <v>1773</v>
      </c>
    </row>
    <row r="191" spans="1:6" ht="13" hidden="1" x14ac:dyDescent="0.25">
      <c r="A191" s="412" t="s">
        <v>1085</v>
      </c>
      <c r="B191" s="413" t="s">
        <v>5</v>
      </c>
      <c r="C191" s="117" t="s">
        <v>1199</v>
      </c>
      <c r="D191" s="402"/>
      <c r="E191" s="402"/>
      <c r="F191" s="414" t="s">
        <v>1774</v>
      </c>
    </row>
    <row r="192" spans="1:6" ht="13" hidden="1" x14ac:dyDescent="0.25">
      <c r="A192" s="400" t="s">
        <v>1775</v>
      </c>
      <c r="B192" s="399"/>
      <c r="C192" s="402"/>
      <c r="D192" s="402"/>
      <c r="E192" s="402"/>
      <c r="F192" s="403"/>
    </row>
    <row r="193" spans="1:8" ht="13" hidden="1" x14ac:dyDescent="0.25">
      <c r="A193" s="412" t="s">
        <v>1086</v>
      </c>
      <c r="B193" s="413" t="s">
        <v>949</v>
      </c>
      <c r="C193" s="117" t="s">
        <v>548</v>
      </c>
      <c r="D193" s="402"/>
      <c r="E193" s="402"/>
      <c r="F193" s="414" t="s">
        <v>702</v>
      </c>
    </row>
    <row r="194" spans="1:8" ht="13" hidden="1" x14ac:dyDescent="0.25">
      <c r="A194" s="412" t="s">
        <v>1087</v>
      </c>
      <c r="B194" s="413" t="s">
        <v>950</v>
      </c>
      <c r="C194" s="117" t="s">
        <v>548</v>
      </c>
      <c r="D194" s="402"/>
      <c r="E194" s="402"/>
      <c r="F194" s="414" t="s">
        <v>701</v>
      </c>
    </row>
    <row r="195" spans="1:8" ht="25" hidden="1" x14ac:dyDescent="0.25">
      <c r="A195" s="412" t="s">
        <v>1088</v>
      </c>
      <c r="B195" s="413" t="s">
        <v>951</v>
      </c>
      <c r="C195" s="117" t="s">
        <v>844</v>
      </c>
      <c r="D195" s="402"/>
      <c r="E195" s="402"/>
      <c r="F195" s="414" t="s">
        <v>644</v>
      </c>
    </row>
    <row r="196" spans="1:8" ht="27" hidden="1" customHeight="1" x14ac:dyDescent="0.25">
      <c r="A196" s="412" t="s">
        <v>1089</v>
      </c>
      <c r="B196" s="413" t="s">
        <v>957</v>
      </c>
      <c r="C196" s="117" t="s">
        <v>548</v>
      </c>
      <c r="D196" s="402"/>
      <c r="E196" s="402"/>
      <c r="F196" s="414" t="s">
        <v>704</v>
      </c>
    </row>
    <row r="197" spans="1:8" ht="26.25" hidden="1" customHeight="1" x14ac:dyDescent="0.25">
      <c r="A197" s="412" t="s">
        <v>1090</v>
      </c>
      <c r="B197" s="413" t="s">
        <v>958</v>
      </c>
      <c r="C197" s="117" t="s">
        <v>548</v>
      </c>
      <c r="D197" s="402"/>
      <c r="E197" s="402"/>
      <c r="F197" s="414" t="s">
        <v>705</v>
      </c>
    </row>
    <row r="198" spans="1:8" ht="13" hidden="1" x14ac:dyDescent="0.25">
      <c r="A198" s="400" t="s">
        <v>1776</v>
      </c>
      <c r="B198" s="399"/>
      <c r="C198" s="402"/>
      <c r="D198" s="402"/>
      <c r="E198" s="402"/>
      <c r="F198" s="403"/>
    </row>
    <row r="199" spans="1:8" ht="13" hidden="1" x14ac:dyDescent="0.25">
      <c r="A199" s="412" t="s">
        <v>1091</v>
      </c>
      <c r="B199" s="413" t="s">
        <v>954</v>
      </c>
      <c r="C199" s="117" t="s">
        <v>1199</v>
      </c>
      <c r="D199" s="402"/>
      <c r="E199" s="402"/>
      <c r="F199" s="414" t="s">
        <v>899</v>
      </c>
    </row>
    <row r="200" spans="1:8" ht="13" hidden="1" x14ac:dyDescent="0.25">
      <c r="A200" s="412" t="s">
        <v>1092</v>
      </c>
      <c r="B200" s="413" t="s">
        <v>1777</v>
      </c>
      <c r="C200" s="117" t="s">
        <v>1199</v>
      </c>
      <c r="D200" s="402"/>
      <c r="E200" s="402"/>
      <c r="F200" s="414" t="s">
        <v>1454</v>
      </c>
    </row>
    <row r="201" spans="1:8" ht="13" hidden="1" x14ac:dyDescent="0.25">
      <c r="A201" s="412" t="s">
        <v>1093</v>
      </c>
      <c r="B201" s="413" t="s">
        <v>1778</v>
      </c>
      <c r="C201" s="117" t="s">
        <v>1199</v>
      </c>
      <c r="D201" s="402"/>
      <c r="E201" s="402"/>
      <c r="F201" s="414" t="s">
        <v>1779</v>
      </c>
    </row>
    <row r="202" spans="1:8" ht="13" hidden="1" x14ac:dyDescent="0.25">
      <c r="A202" s="412" t="s">
        <v>1146</v>
      </c>
      <c r="B202" s="413" t="s">
        <v>55</v>
      </c>
      <c r="C202" s="117" t="s">
        <v>1199</v>
      </c>
      <c r="D202" s="402"/>
      <c r="E202" s="402"/>
      <c r="F202" s="414" t="s">
        <v>1780</v>
      </c>
    </row>
    <row r="203" spans="1:8" ht="13" hidden="1" x14ac:dyDescent="0.25">
      <c r="A203" s="412" t="s">
        <v>1147</v>
      </c>
      <c r="B203" s="413" t="s">
        <v>956</v>
      </c>
      <c r="C203" s="117" t="s">
        <v>548</v>
      </c>
      <c r="D203" s="394"/>
      <c r="E203" s="394"/>
      <c r="F203" s="414" t="s">
        <v>696</v>
      </c>
    </row>
    <row r="204" spans="1:8" hidden="1" x14ac:dyDescent="0.25">
      <c r="A204" s="415"/>
      <c r="C204" s="7"/>
      <c r="D204" s="7"/>
      <c r="E204" s="7"/>
      <c r="G204" s="7"/>
      <c r="H204" s="7"/>
    </row>
    <row r="205" spans="1:8" ht="13" hidden="1" x14ac:dyDescent="0.25">
      <c r="A205" s="417"/>
      <c r="B205" s="418"/>
      <c r="C205" s="7"/>
      <c r="D205" s="7"/>
      <c r="E205" s="7"/>
      <c r="G205" s="7"/>
      <c r="H205" s="7"/>
    </row>
    <row r="206" spans="1:8" ht="13" x14ac:dyDescent="0.25">
      <c r="A206" s="417"/>
      <c r="B206" s="418"/>
      <c r="C206" s="7"/>
      <c r="D206" s="7"/>
      <c r="E206" s="7"/>
      <c r="G206" s="7"/>
      <c r="H206" s="7"/>
    </row>
    <row r="207" spans="1:8" s="150" customFormat="1" ht="13" x14ac:dyDescent="0.3">
      <c r="A207" s="418"/>
      <c r="B207" s="418"/>
      <c r="F207" s="419"/>
    </row>
    <row r="208" spans="1:8" ht="13" x14ac:dyDescent="0.25">
      <c r="A208" s="418"/>
      <c r="B208" s="418"/>
      <c r="C208" s="7"/>
      <c r="D208" s="7"/>
      <c r="E208" s="7"/>
      <c r="G208" s="7"/>
      <c r="H208" s="7"/>
    </row>
    <row r="209" spans="1:8" ht="13" x14ac:dyDescent="0.25">
      <c r="A209" s="418"/>
      <c r="B209" s="418"/>
      <c r="C209" s="7"/>
      <c r="D209" s="7"/>
      <c r="E209" s="7"/>
      <c r="G209" s="7"/>
      <c r="H209" s="7"/>
    </row>
    <row r="210" spans="1:8" ht="13" x14ac:dyDescent="0.25">
      <c r="A210" s="418"/>
      <c r="B210" s="418"/>
      <c r="C210" s="7"/>
      <c r="D210" s="7"/>
      <c r="E210" s="7"/>
      <c r="G210" s="7"/>
      <c r="H210" s="7"/>
    </row>
    <row r="211" spans="1:8" ht="13" x14ac:dyDescent="0.25">
      <c r="A211" s="418"/>
      <c r="B211" s="418"/>
      <c r="C211" s="7"/>
      <c r="D211" s="7"/>
      <c r="E211" s="7"/>
      <c r="G211" s="7"/>
      <c r="H211" s="7"/>
    </row>
    <row r="212" spans="1:8" ht="13" x14ac:dyDescent="0.25">
      <c r="A212" s="418"/>
      <c r="B212" s="418"/>
      <c r="C212" s="7"/>
      <c r="D212" s="7"/>
      <c r="E212" s="7"/>
      <c r="G212" s="7"/>
      <c r="H212" s="7"/>
    </row>
    <row r="213" spans="1:8" ht="13" x14ac:dyDescent="0.25">
      <c r="A213" s="418"/>
      <c r="B213" s="418"/>
      <c r="C213" s="7"/>
      <c r="D213" s="7"/>
      <c r="E213" s="7"/>
      <c r="G213" s="7"/>
      <c r="H213" s="7"/>
    </row>
    <row r="214" spans="1:8" ht="13" x14ac:dyDescent="0.25">
      <c r="A214" s="418"/>
      <c r="B214" s="418"/>
      <c r="C214" s="7"/>
      <c r="D214" s="7"/>
      <c r="E214" s="7"/>
      <c r="G214" s="7"/>
      <c r="H214" s="7"/>
    </row>
    <row r="215" spans="1:8" ht="13" x14ac:dyDescent="0.25">
      <c r="A215" s="418"/>
      <c r="B215" s="418"/>
      <c r="C215" s="7"/>
      <c r="D215" s="7"/>
      <c r="E215" s="7"/>
      <c r="G215" s="7"/>
      <c r="H215" s="7"/>
    </row>
    <row r="216" spans="1:8" ht="13" x14ac:dyDescent="0.25">
      <c r="A216" s="418"/>
      <c r="B216" s="418"/>
      <c r="C216" s="7"/>
      <c r="D216" s="7"/>
      <c r="E216" s="7"/>
      <c r="G216" s="7"/>
      <c r="H216" s="7"/>
    </row>
    <row r="217" spans="1:8" ht="13" x14ac:dyDescent="0.25">
      <c r="A217" s="418"/>
      <c r="B217" s="418"/>
      <c r="C217" s="7"/>
      <c r="D217" s="7"/>
      <c r="E217" s="7"/>
      <c r="G217" s="7"/>
      <c r="H217" s="7"/>
    </row>
    <row r="218" spans="1:8" ht="13" x14ac:dyDescent="0.25">
      <c r="A218" s="418"/>
      <c r="B218" s="418"/>
      <c r="C218" s="7"/>
      <c r="D218" s="7"/>
      <c r="E218" s="7"/>
      <c r="G218" s="7"/>
      <c r="H218" s="7"/>
    </row>
    <row r="219" spans="1:8" x14ac:dyDescent="0.25">
      <c r="C219" s="7"/>
      <c r="D219" s="7"/>
      <c r="E219" s="7"/>
      <c r="G219" s="7"/>
      <c r="H219" s="7"/>
    </row>
    <row r="220" spans="1:8" ht="13" x14ac:dyDescent="0.25">
      <c r="A220" s="420"/>
      <c r="B220" s="421"/>
      <c r="C220" s="422"/>
      <c r="D220" s="422"/>
      <c r="E220" s="422"/>
      <c r="F220" s="423"/>
    </row>
    <row r="221" spans="1:8" ht="13" x14ac:dyDescent="0.25">
      <c r="A221" s="420"/>
      <c r="B221" s="421"/>
      <c r="C221" s="422"/>
      <c r="D221" s="422"/>
      <c r="E221" s="422"/>
      <c r="F221" s="423"/>
    </row>
    <row r="222" spans="1:8" ht="13" x14ac:dyDescent="0.25">
      <c r="A222" s="420"/>
      <c r="B222" s="421"/>
      <c r="C222" s="422"/>
      <c r="D222" s="422"/>
      <c r="E222" s="422"/>
      <c r="F222" s="423"/>
    </row>
    <row r="223" spans="1:8" ht="13" x14ac:dyDescent="0.25">
      <c r="A223" s="420"/>
      <c r="B223" s="421"/>
      <c r="C223" s="422"/>
      <c r="D223" s="422"/>
      <c r="E223" s="422"/>
      <c r="F223" s="423"/>
    </row>
    <row r="224" spans="1:8" ht="13" x14ac:dyDescent="0.25">
      <c r="A224" s="420"/>
      <c r="B224" s="421"/>
      <c r="C224" s="422"/>
      <c r="D224" s="422"/>
      <c r="E224" s="422"/>
      <c r="F224" s="423"/>
    </row>
    <row r="225" spans="1:6" ht="13" x14ac:dyDescent="0.25">
      <c r="A225" s="420"/>
      <c r="B225" s="421"/>
      <c r="C225" s="422"/>
      <c r="D225" s="422"/>
      <c r="E225" s="422"/>
      <c r="F225" s="423"/>
    </row>
    <row r="226" spans="1:6" ht="13" x14ac:dyDescent="0.25">
      <c r="A226" s="420"/>
      <c r="B226" s="421"/>
      <c r="C226" s="422"/>
      <c r="D226" s="422"/>
      <c r="E226" s="422"/>
      <c r="F226" s="423"/>
    </row>
    <row r="227" spans="1:6" ht="13" x14ac:dyDescent="0.25">
      <c r="A227" s="420"/>
      <c r="B227" s="421"/>
      <c r="C227" s="422"/>
      <c r="D227" s="422"/>
      <c r="E227" s="422"/>
      <c r="F227" s="423"/>
    </row>
    <row r="228" spans="1:6" ht="13" x14ac:dyDescent="0.25">
      <c r="A228" s="420"/>
      <c r="B228" s="421"/>
      <c r="C228" s="422"/>
      <c r="D228" s="422"/>
      <c r="E228" s="422"/>
      <c r="F228" s="423"/>
    </row>
    <row r="229" spans="1:6" ht="13" x14ac:dyDescent="0.25">
      <c r="A229" s="420"/>
      <c r="B229" s="421"/>
      <c r="C229" s="422"/>
      <c r="D229" s="422"/>
      <c r="E229" s="422"/>
      <c r="F229" s="423"/>
    </row>
    <row r="230" spans="1:6" ht="13" x14ac:dyDescent="0.25">
      <c r="A230" s="420"/>
      <c r="B230" s="421"/>
      <c r="C230" s="422"/>
      <c r="D230" s="422"/>
      <c r="E230" s="422"/>
      <c r="F230" s="423"/>
    </row>
    <row r="231" spans="1:6" ht="13" x14ac:dyDescent="0.25">
      <c r="A231" s="420"/>
      <c r="B231" s="421"/>
      <c r="C231" s="422"/>
      <c r="D231" s="422"/>
      <c r="E231" s="422"/>
      <c r="F231" s="423"/>
    </row>
    <row r="232" spans="1:6" ht="13" x14ac:dyDescent="0.25">
      <c r="A232" s="420"/>
      <c r="B232" s="421"/>
      <c r="C232" s="422"/>
      <c r="D232" s="422"/>
      <c r="E232" s="422"/>
      <c r="F232" s="423"/>
    </row>
    <row r="233" spans="1:6" ht="13" x14ac:dyDescent="0.25">
      <c r="A233" s="420"/>
      <c r="B233" s="421"/>
      <c r="C233" s="422"/>
      <c r="D233" s="422"/>
      <c r="E233" s="422"/>
      <c r="F233" s="423"/>
    </row>
    <row r="234" spans="1:6" ht="13" x14ac:dyDescent="0.25">
      <c r="A234" s="420"/>
      <c r="B234" s="421"/>
      <c r="C234" s="422"/>
      <c r="D234" s="422"/>
      <c r="E234" s="422"/>
      <c r="F234" s="423"/>
    </row>
    <row r="235" spans="1:6" ht="13" x14ac:dyDescent="0.25">
      <c r="A235" s="420"/>
      <c r="B235" s="421"/>
      <c r="C235" s="422"/>
      <c r="D235" s="422"/>
      <c r="E235" s="422"/>
      <c r="F235" s="423"/>
    </row>
    <row r="236" spans="1:6" x14ac:dyDescent="0.25">
      <c r="B236" s="415"/>
      <c r="C236" s="422"/>
      <c r="D236" s="422"/>
      <c r="E236" s="422"/>
      <c r="F236" s="423"/>
    </row>
    <row r="237" spans="1:6" x14ac:dyDescent="0.25">
      <c r="B237" s="415"/>
      <c r="C237" s="422"/>
      <c r="D237" s="422"/>
      <c r="E237" s="422"/>
      <c r="F237" s="423"/>
    </row>
    <row r="238" spans="1:6" x14ac:dyDescent="0.25">
      <c r="C238" s="422"/>
      <c r="D238" s="422"/>
      <c r="E238" s="422"/>
    </row>
    <row r="239" spans="1:6" x14ac:dyDescent="0.25">
      <c r="C239" s="422"/>
      <c r="D239" s="422"/>
      <c r="E239" s="422"/>
    </row>
    <row r="240" spans="1:6" x14ac:dyDescent="0.25">
      <c r="C240" s="422"/>
      <c r="D240" s="422"/>
      <c r="E240" s="422"/>
    </row>
  </sheetData>
  <sheetProtection password="92CE" sheet="1"/>
  <mergeCells count="1">
    <mergeCell ref="A1:F1"/>
  </mergeCells>
  <pageMargins left="0.78740157480314965" right="0.78740157480314965" top="0.70866141732283472" bottom="0.6692913385826772" header="0.51181102362204722" footer="0.51181102362204722"/>
  <pageSetup paperSize="9" scale="58" fitToHeight="0" orientation="landscape" horizontalDpi="4294967292" verticalDpi="96" r:id="rId1"/>
  <headerFooter alignWithMargins="0">
    <oddFooter>&amp;CSeite &amp;P von &amp;N</oddFooter>
  </headerFooter>
  <rowBreaks count="12" manualBreakCount="12">
    <brk id="34" max="5" man="1"/>
    <brk id="49" max="5" man="1"/>
    <brk id="63" max="5" man="1"/>
    <brk id="83" max="5" man="1"/>
    <brk id="102" max="5" man="1"/>
    <brk id="112" max="5" man="1"/>
    <brk id="121" max="5" man="1"/>
    <brk id="133" max="5" man="1"/>
    <brk id="143" max="5" man="1"/>
    <brk id="152" max="5" man="1"/>
    <brk id="159" max="5" man="1"/>
    <brk id="165" max="16383" man="1"/>
  </rowBreaks>
  <drawing r:id="rId2"/>
  <legacyDrawing r:id="rId3"/>
  <controls>
    <mc:AlternateContent xmlns:mc="http://schemas.openxmlformats.org/markup-compatibility/2006">
      <mc:Choice Requires="x14">
        <control shapeId="23553" r:id="rId4" name="CommandButton1">
          <controlPr defaultSize="0" print="0" autoLine="0" r:id="rId5">
            <anchor moveWithCells="1">
              <from>
                <xdr:col>5</xdr:col>
                <xdr:colOff>0</xdr:colOff>
                <xdr:row>239</xdr:row>
                <xdr:rowOff>44450</xdr:rowOff>
              </from>
              <to>
                <xdr:col>5</xdr:col>
                <xdr:colOff>1003300</xdr:colOff>
                <xdr:row>241</xdr:row>
                <xdr:rowOff>57150</xdr:rowOff>
              </to>
            </anchor>
          </controlPr>
        </control>
      </mc:Choice>
      <mc:Fallback>
        <control shapeId="23553" r:id="rId4" name="CommandButton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6"/>
  <dimension ref="B1:F55"/>
  <sheetViews>
    <sheetView showGridLines="0" showRowColHeaders="0" zoomScale="75" zoomScaleNormal="75" zoomScaleSheetLayoutView="100" workbookViewId="0">
      <selection activeCell="C1" sqref="C1"/>
    </sheetView>
  </sheetViews>
  <sheetFormatPr baseColWidth="10" defaultColWidth="11.453125" defaultRowHeight="15.5" x14ac:dyDescent="0.35"/>
  <cols>
    <col min="1" max="1" width="4.26953125" style="43" customWidth="1"/>
    <col min="2" max="2" width="2.81640625" style="43" customWidth="1"/>
    <col min="3" max="3" width="8" style="2" customWidth="1"/>
    <col min="4" max="4" width="32.1796875" style="84" customWidth="1"/>
    <col min="5" max="5" width="19" style="43" customWidth="1"/>
    <col min="6" max="6" width="34" style="43" customWidth="1"/>
    <col min="7" max="7" width="3.453125" style="43" customWidth="1"/>
    <col min="8" max="16384" width="11.453125" style="43"/>
  </cols>
  <sheetData>
    <row r="1" spans="2:6" ht="26.25" customHeight="1" x14ac:dyDescent="0.4">
      <c r="B1" s="82" t="s">
        <v>1874</v>
      </c>
      <c r="C1" s="82"/>
      <c r="D1" s="83"/>
      <c r="E1" s="2"/>
    </row>
    <row r="2" spans="2:6" ht="12.75" customHeight="1" x14ac:dyDescent="0.35">
      <c r="B2" s="2"/>
      <c r="D2" s="83"/>
      <c r="E2" s="2"/>
    </row>
    <row r="3" spans="2:6" x14ac:dyDescent="0.35">
      <c r="B3" s="2" t="s">
        <v>911</v>
      </c>
      <c r="C3" s="2" t="s">
        <v>919</v>
      </c>
      <c r="E3" s="2"/>
    </row>
    <row r="4" spans="2:6" ht="5.15" customHeight="1" x14ac:dyDescent="0.35"/>
    <row r="5" spans="2:6" s="2" customFormat="1" x14ac:dyDescent="0.35">
      <c r="C5" s="85"/>
      <c r="D5" s="107" t="s">
        <v>920</v>
      </c>
      <c r="E5" s="86" t="s">
        <v>536</v>
      </c>
      <c r="F5" s="93" t="s">
        <v>921</v>
      </c>
    </row>
    <row r="6" spans="2:6" ht="26.25" customHeight="1" x14ac:dyDescent="0.35">
      <c r="C6" s="104" t="s">
        <v>975</v>
      </c>
      <c r="D6" s="101" t="s">
        <v>922</v>
      </c>
      <c r="E6" s="87" t="s">
        <v>923</v>
      </c>
      <c r="F6" s="109">
        <f>_EE01+(_EE02/7)+_EE03+(_EE04/12)+_VE01+(_VE02/7)+_VE03+(_VE04/12)</f>
        <v>0</v>
      </c>
    </row>
    <row r="7" spans="2:6" ht="13" customHeight="1" x14ac:dyDescent="0.35">
      <c r="C7" s="105" t="s">
        <v>1064</v>
      </c>
      <c r="D7" s="102" t="s">
        <v>924</v>
      </c>
      <c r="E7" s="88" t="s">
        <v>925</v>
      </c>
      <c r="F7" s="110">
        <f>_K40</f>
        <v>0</v>
      </c>
    </row>
    <row r="8" spans="2:6" ht="13" customHeight="1" x14ac:dyDescent="0.35">
      <c r="C8" s="105" t="s">
        <v>1065</v>
      </c>
      <c r="D8" s="102" t="s">
        <v>926</v>
      </c>
      <c r="E8" s="88" t="s">
        <v>925</v>
      </c>
      <c r="F8" s="110">
        <f>_K42</f>
        <v>0</v>
      </c>
    </row>
    <row r="9" spans="2:6" ht="13" customHeight="1" x14ac:dyDescent="0.35">
      <c r="C9" s="105" t="s">
        <v>1066</v>
      </c>
      <c r="D9" s="102" t="s">
        <v>927</v>
      </c>
      <c r="E9" s="88" t="s">
        <v>548</v>
      </c>
      <c r="F9" s="110" t="str">
        <f>_K50</f>
        <v/>
      </c>
    </row>
    <row r="10" spans="2:6" ht="13" customHeight="1" x14ac:dyDescent="0.35">
      <c r="C10" s="105" t="s">
        <v>1067</v>
      </c>
      <c r="D10" s="102" t="s">
        <v>928</v>
      </c>
      <c r="E10" s="88" t="s">
        <v>548</v>
      </c>
      <c r="F10" s="110" t="str">
        <f>_K54</f>
        <v/>
      </c>
    </row>
    <row r="11" spans="2:6" ht="13" customHeight="1" x14ac:dyDescent="0.35">
      <c r="C11" s="105" t="s">
        <v>1068</v>
      </c>
      <c r="D11" s="102" t="s">
        <v>333</v>
      </c>
      <c r="E11" s="88" t="s">
        <v>929</v>
      </c>
      <c r="F11" s="110" t="e">
        <f>(_AV15+_AV16)/_EN10</f>
        <v>#DIV/0!</v>
      </c>
    </row>
    <row r="12" spans="2:6" ht="27" customHeight="1" x14ac:dyDescent="0.35">
      <c r="C12" s="105" t="s">
        <v>1277</v>
      </c>
      <c r="D12" s="102" t="s">
        <v>930</v>
      </c>
      <c r="E12" s="88" t="s">
        <v>929</v>
      </c>
      <c r="F12" s="110" t="e">
        <f>_K48B</f>
        <v>#DIV/0!</v>
      </c>
    </row>
    <row r="13" spans="2:6" ht="13.5" customHeight="1" x14ac:dyDescent="0.35">
      <c r="C13" s="105" t="s">
        <v>1069</v>
      </c>
      <c r="D13" s="102" t="s">
        <v>1145</v>
      </c>
      <c r="E13" s="88" t="s">
        <v>334</v>
      </c>
      <c r="F13" s="252">
        <f>_ANK01</f>
        <v>0</v>
      </c>
    </row>
    <row r="14" spans="2:6" ht="13" customHeight="1" x14ac:dyDescent="0.35">
      <c r="C14" s="105" t="s">
        <v>1070</v>
      </c>
      <c r="D14" s="108" t="s">
        <v>931</v>
      </c>
      <c r="E14" s="88" t="s">
        <v>334</v>
      </c>
      <c r="F14" s="111">
        <f>_VERK01</f>
        <v>0</v>
      </c>
    </row>
    <row r="15" spans="2:6" ht="13" customHeight="1" x14ac:dyDescent="0.35">
      <c r="C15" s="106" t="s">
        <v>1071</v>
      </c>
      <c r="D15" s="103" t="s">
        <v>932</v>
      </c>
      <c r="E15" s="89" t="s">
        <v>334</v>
      </c>
      <c r="F15" s="112">
        <f>_VERK02</f>
        <v>0</v>
      </c>
    </row>
    <row r="16" spans="2:6" ht="8.25" customHeight="1" x14ac:dyDescent="0.35">
      <c r="D16" s="90"/>
      <c r="E16" s="91"/>
    </row>
    <row r="17" spans="2:6" x14ac:dyDescent="0.35">
      <c r="B17" s="2" t="s">
        <v>933</v>
      </c>
      <c r="C17" s="2" t="s">
        <v>934</v>
      </c>
      <c r="E17" s="2"/>
    </row>
    <row r="18" spans="2:6" ht="5.15" customHeight="1" x14ac:dyDescent="0.35"/>
    <row r="19" spans="2:6" s="2" customFormat="1" x14ac:dyDescent="0.35">
      <c r="C19" s="85"/>
      <c r="D19" s="107" t="s">
        <v>920</v>
      </c>
      <c r="E19" s="86" t="s">
        <v>536</v>
      </c>
      <c r="F19" s="93" t="s">
        <v>921</v>
      </c>
    </row>
    <row r="20" spans="2:6" ht="13" customHeight="1" x14ac:dyDescent="0.35">
      <c r="C20" s="104" t="s">
        <v>1072</v>
      </c>
      <c r="D20" s="101" t="s">
        <v>537</v>
      </c>
      <c r="E20" s="87" t="s">
        <v>935</v>
      </c>
      <c r="F20" s="94">
        <f>_K01/1000</f>
        <v>0</v>
      </c>
    </row>
    <row r="21" spans="2:6" ht="25.5" customHeight="1" x14ac:dyDescent="0.35">
      <c r="C21" s="106" t="s">
        <v>1073</v>
      </c>
      <c r="D21" s="103" t="s">
        <v>936</v>
      </c>
      <c r="E21" s="89" t="s">
        <v>548</v>
      </c>
      <c r="F21" s="92">
        <f>_K23</f>
        <v>0</v>
      </c>
    </row>
    <row r="22" spans="2:6" ht="13" hidden="1" customHeight="1" x14ac:dyDescent="0.35">
      <c r="C22" s="322" t="s">
        <v>1074</v>
      </c>
      <c r="D22" s="323" t="s">
        <v>937</v>
      </c>
      <c r="E22" s="324" t="s">
        <v>548</v>
      </c>
      <c r="F22" s="325">
        <f>_K25</f>
        <v>0</v>
      </c>
    </row>
    <row r="23" spans="2:6" ht="13" hidden="1" customHeight="1" x14ac:dyDescent="0.35">
      <c r="C23" s="106" t="s">
        <v>1075</v>
      </c>
      <c r="D23" s="103" t="s">
        <v>938</v>
      </c>
      <c r="E23" s="89" t="s">
        <v>548</v>
      </c>
      <c r="F23" s="92">
        <f>_K21</f>
        <v>0</v>
      </c>
    </row>
    <row r="24" spans="2:6" ht="9" customHeight="1" x14ac:dyDescent="0.35">
      <c r="D24" s="90"/>
      <c r="E24" s="91"/>
    </row>
    <row r="25" spans="2:6" x14ac:dyDescent="0.35">
      <c r="B25" s="2" t="s">
        <v>939</v>
      </c>
      <c r="C25" s="2" t="s">
        <v>940</v>
      </c>
      <c r="E25" s="2"/>
    </row>
    <row r="26" spans="2:6" ht="5.15" customHeight="1" x14ac:dyDescent="0.35"/>
    <row r="27" spans="2:6" s="2" customFormat="1" x14ac:dyDescent="0.35">
      <c r="C27" s="85"/>
      <c r="D27" s="107" t="s">
        <v>920</v>
      </c>
      <c r="E27" s="86" t="s">
        <v>536</v>
      </c>
      <c r="F27" s="93" t="s">
        <v>921</v>
      </c>
    </row>
    <row r="28" spans="2:6" ht="27" customHeight="1" x14ac:dyDescent="0.35">
      <c r="C28" s="104" t="s">
        <v>1076</v>
      </c>
      <c r="D28" s="101" t="s">
        <v>941</v>
      </c>
      <c r="E28" s="116" t="s">
        <v>1199</v>
      </c>
      <c r="F28" s="95">
        <f>_K07</f>
        <v>0</v>
      </c>
    </row>
    <row r="29" spans="2:6" ht="13" customHeight="1" x14ac:dyDescent="0.35">
      <c r="C29" s="105" t="s">
        <v>1077</v>
      </c>
      <c r="D29" s="102" t="s">
        <v>942</v>
      </c>
      <c r="E29" s="117" t="s">
        <v>1199</v>
      </c>
      <c r="F29" s="96">
        <f>_K08</f>
        <v>0</v>
      </c>
    </row>
    <row r="30" spans="2:6" ht="27" customHeight="1" x14ac:dyDescent="0.35">
      <c r="C30" s="105" t="s">
        <v>1078</v>
      </c>
      <c r="D30" s="102" t="s">
        <v>1231</v>
      </c>
      <c r="E30" s="117" t="s">
        <v>1199</v>
      </c>
      <c r="F30" s="96">
        <f>(_UE20+_UE51)/1000</f>
        <v>0</v>
      </c>
    </row>
    <row r="31" spans="2:6" ht="28.5" customHeight="1" x14ac:dyDescent="0.35">
      <c r="C31" s="105" t="s">
        <v>1079</v>
      </c>
      <c r="D31" s="102" t="s">
        <v>542</v>
      </c>
      <c r="E31" s="117" t="s">
        <v>1199</v>
      </c>
      <c r="F31" s="96">
        <f>_K12</f>
        <v>0</v>
      </c>
    </row>
    <row r="32" spans="2:6" ht="13" customHeight="1" x14ac:dyDescent="0.35">
      <c r="C32" s="105" t="s">
        <v>1080</v>
      </c>
      <c r="D32" s="102" t="s">
        <v>943</v>
      </c>
      <c r="E32" s="117" t="s">
        <v>1199</v>
      </c>
      <c r="F32" s="96">
        <f>_K06A</f>
        <v>0</v>
      </c>
    </row>
    <row r="33" spans="2:6" ht="13" customHeight="1" x14ac:dyDescent="0.35">
      <c r="C33" s="105" t="s">
        <v>1081</v>
      </c>
      <c r="D33" s="102" t="s">
        <v>1232</v>
      </c>
      <c r="E33" s="117" t="s">
        <v>1199</v>
      </c>
      <c r="F33" s="96">
        <f>IF(ISBLANK(_GW10),0,(_GW10-_GW20+_XX28-_GR10-_XX50+_ST10+_AA04+_AA03-_EA01+_ZA10-_EZ02-_EW01)/1000)</f>
        <v>0</v>
      </c>
    </row>
    <row r="34" spans="2:6" ht="25.5" customHeight="1" x14ac:dyDescent="0.35">
      <c r="C34" s="105" t="s">
        <v>1082</v>
      </c>
      <c r="D34" s="102" t="s">
        <v>944</v>
      </c>
      <c r="E34" s="117" t="s">
        <v>1136</v>
      </c>
      <c r="F34" s="253" t="e">
        <f>_K06A*1000/(_ZA10)</f>
        <v>#DIV/0!</v>
      </c>
    </row>
    <row r="35" spans="2:6" ht="13" customHeight="1" x14ac:dyDescent="0.35">
      <c r="C35" s="105" t="s">
        <v>1083</v>
      </c>
      <c r="D35" s="102" t="s">
        <v>945</v>
      </c>
      <c r="E35" s="117" t="s">
        <v>1199</v>
      </c>
      <c r="F35" s="96">
        <f>(_GW10-_GW20+_ST10)/1000</f>
        <v>0</v>
      </c>
    </row>
    <row r="36" spans="2:6" ht="13" customHeight="1" x14ac:dyDescent="0.35">
      <c r="C36" s="105" t="s">
        <v>1084</v>
      </c>
      <c r="D36" s="102" t="s">
        <v>946</v>
      </c>
      <c r="E36" s="117" t="s">
        <v>1199</v>
      </c>
      <c r="F36" s="96">
        <f>(_GW10-_GW20)/1000</f>
        <v>0</v>
      </c>
    </row>
    <row r="37" spans="2:6" ht="13" customHeight="1" x14ac:dyDescent="0.35">
      <c r="C37" s="106" t="s">
        <v>1085</v>
      </c>
      <c r="D37" s="103" t="s">
        <v>5</v>
      </c>
      <c r="E37" s="89" t="s">
        <v>1199</v>
      </c>
      <c r="F37" s="118">
        <f>_K14C</f>
        <v>0</v>
      </c>
    </row>
    <row r="38" spans="2:6" ht="9.75" customHeight="1" x14ac:dyDescent="0.35"/>
    <row r="39" spans="2:6" x14ac:dyDescent="0.35">
      <c r="B39" s="2" t="s">
        <v>947</v>
      </c>
      <c r="C39" s="2" t="s">
        <v>948</v>
      </c>
      <c r="E39" s="2"/>
    </row>
    <row r="40" spans="2:6" ht="5.15" customHeight="1" x14ac:dyDescent="0.35"/>
    <row r="41" spans="2:6" x14ac:dyDescent="0.35">
      <c r="C41" s="85"/>
      <c r="D41" s="107" t="s">
        <v>920</v>
      </c>
      <c r="E41" s="86" t="s">
        <v>536</v>
      </c>
      <c r="F41" s="93" t="s">
        <v>921</v>
      </c>
    </row>
    <row r="42" spans="2:6" ht="13" customHeight="1" x14ac:dyDescent="0.35">
      <c r="C42" s="104" t="s">
        <v>1086</v>
      </c>
      <c r="D42" s="101" t="s">
        <v>949</v>
      </c>
      <c r="E42" s="87" t="s">
        <v>548</v>
      </c>
      <c r="F42" s="97">
        <f>_K28</f>
        <v>0</v>
      </c>
    </row>
    <row r="43" spans="2:6" ht="13" customHeight="1" x14ac:dyDescent="0.35">
      <c r="C43" s="105" t="s">
        <v>1087</v>
      </c>
      <c r="D43" s="102" t="s">
        <v>950</v>
      </c>
      <c r="E43" s="88" t="s">
        <v>548</v>
      </c>
      <c r="F43" s="98">
        <f>_K27</f>
        <v>0</v>
      </c>
    </row>
    <row r="44" spans="2:6" ht="27.75" customHeight="1" x14ac:dyDescent="0.35">
      <c r="C44" s="105" t="s">
        <v>1088</v>
      </c>
      <c r="D44" s="102" t="s">
        <v>951</v>
      </c>
      <c r="E44" s="88" t="s">
        <v>844</v>
      </c>
      <c r="F44" s="96">
        <f>_K38A</f>
        <v>0</v>
      </c>
    </row>
    <row r="45" spans="2:6" ht="24" customHeight="1" x14ac:dyDescent="0.35">
      <c r="C45" s="105" t="s">
        <v>1089</v>
      </c>
      <c r="D45" s="102" t="s">
        <v>957</v>
      </c>
      <c r="E45" s="88" t="s">
        <v>548</v>
      </c>
      <c r="F45" s="98">
        <f>_K30</f>
        <v>0</v>
      </c>
    </row>
    <row r="46" spans="2:6" ht="24" customHeight="1" x14ac:dyDescent="0.35">
      <c r="C46" s="106" t="s">
        <v>1090</v>
      </c>
      <c r="D46" s="103" t="s">
        <v>958</v>
      </c>
      <c r="E46" s="89" t="s">
        <v>548</v>
      </c>
      <c r="F46" s="99">
        <f>_K31</f>
        <v>0</v>
      </c>
    </row>
    <row r="47" spans="2:6" ht="10.5" customHeight="1" x14ac:dyDescent="0.35"/>
    <row r="48" spans="2:6" x14ac:dyDescent="0.35">
      <c r="B48" s="2" t="s">
        <v>952</v>
      </c>
      <c r="C48" s="2" t="s">
        <v>953</v>
      </c>
      <c r="D48" s="43"/>
      <c r="E48" s="2"/>
    </row>
    <row r="49" spans="3:6" ht="5.15" customHeight="1" x14ac:dyDescent="0.35"/>
    <row r="50" spans="3:6" x14ac:dyDescent="0.35">
      <c r="C50" s="85"/>
      <c r="D50" s="107" t="s">
        <v>920</v>
      </c>
      <c r="E50" s="86" t="s">
        <v>536</v>
      </c>
      <c r="F50" s="93" t="s">
        <v>921</v>
      </c>
    </row>
    <row r="51" spans="3:6" ht="13" customHeight="1" x14ac:dyDescent="0.35">
      <c r="C51" s="104" t="s">
        <v>1091</v>
      </c>
      <c r="D51" s="101" t="s">
        <v>954</v>
      </c>
      <c r="E51" s="87" t="s">
        <v>1199</v>
      </c>
      <c r="F51" s="95">
        <f>_K05</f>
        <v>0</v>
      </c>
    </row>
    <row r="52" spans="3:6" ht="24" customHeight="1" x14ac:dyDescent="0.35">
      <c r="C52" s="105" t="s">
        <v>1092</v>
      </c>
      <c r="D52" s="102" t="s">
        <v>955</v>
      </c>
      <c r="E52" s="88" t="s">
        <v>1199</v>
      </c>
      <c r="F52" s="96">
        <f>_AV12/1000</f>
        <v>0</v>
      </c>
    </row>
    <row r="53" spans="3:6" s="115" customFormat="1" ht="26.25" customHeight="1" x14ac:dyDescent="0.35">
      <c r="C53" s="105" t="s">
        <v>1093</v>
      </c>
      <c r="D53" s="102" t="s">
        <v>1144</v>
      </c>
      <c r="E53" s="88" t="s">
        <v>1199</v>
      </c>
      <c r="F53" s="96">
        <f>_ANK02/1000</f>
        <v>0</v>
      </c>
    </row>
    <row r="54" spans="3:6" ht="13" customHeight="1" x14ac:dyDescent="0.35">
      <c r="C54" s="105" t="s">
        <v>1146</v>
      </c>
      <c r="D54" s="102" t="s">
        <v>55</v>
      </c>
      <c r="E54" s="88" t="s">
        <v>1199</v>
      </c>
      <c r="F54" s="96">
        <f>(_IK01+_XX45)/1000</f>
        <v>0</v>
      </c>
    </row>
    <row r="55" spans="3:6" ht="13" customHeight="1" x14ac:dyDescent="0.35">
      <c r="C55" s="106" t="s">
        <v>1147</v>
      </c>
      <c r="D55" s="103" t="s">
        <v>956</v>
      </c>
      <c r="E55" s="89" t="s">
        <v>548</v>
      </c>
      <c r="F55" s="99">
        <f>_K22</f>
        <v>0</v>
      </c>
    </row>
  </sheetData>
  <sheetProtection password="DEA8" sheet="1"/>
  <phoneticPr fontId="0" type="noConversion"/>
  <pageMargins left="0.84" right="0.39370078740157483" top="0.78740157480314965" bottom="0.59055118110236227" header="0.51181102362204722" footer="0.51181102362204722"/>
  <pageSetup paperSize="9" scale="84" fitToHeight="2" orientation="portrait" r:id="rId1"/>
  <headerFooter alignWithMargins="0">
    <oddFooter>&amp;C&amp;"Arial,Fett"Management Summary</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4">
    <pageSetUpPr fitToPage="1"/>
  </sheetPr>
  <dimension ref="B1:P171"/>
  <sheetViews>
    <sheetView showGridLines="0" topLeftCell="B13" zoomScaleNormal="100" zoomScaleSheetLayoutView="100" workbookViewId="0">
      <selection activeCell="F44" sqref="F44"/>
    </sheetView>
  </sheetViews>
  <sheetFormatPr baseColWidth="10" defaultRowHeight="12.5" x14ac:dyDescent="0.25"/>
  <cols>
    <col min="1" max="1" width="6" customWidth="1"/>
    <col min="2" max="2" width="10" customWidth="1"/>
    <col min="3" max="3" width="7.26953125" customWidth="1"/>
    <col min="4" max="4" width="12.81640625" customWidth="1"/>
    <col min="5" max="5" width="15.1796875" customWidth="1"/>
    <col min="7" max="7" width="3.7265625" customWidth="1"/>
    <col min="8" max="8" width="22.453125" customWidth="1"/>
    <col min="9" max="9" width="27.26953125" customWidth="1"/>
    <col min="10" max="10" width="0.26953125" customWidth="1"/>
  </cols>
  <sheetData>
    <row r="1" spans="2:16" ht="20.25" customHeight="1" x14ac:dyDescent="0.25"/>
    <row r="2" spans="2:16" ht="15.5" x14ac:dyDescent="0.35">
      <c r="B2" s="2" t="s">
        <v>530</v>
      </c>
      <c r="F2" t="s">
        <v>555</v>
      </c>
      <c r="H2" s="113"/>
      <c r="I2" s="114"/>
    </row>
    <row r="3" spans="2:16" ht="17.25" customHeight="1" x14ac:dyDescent="0.35">
      <c r="B3" s="2"/>
    </row>
    <row r="4" spans="2:16" s="13" customFormat="1" ht="17.25" customHeight="1" x14ac:dyDescent="0.25">
      <c r="B4" s="256" t="s">
        <v>1256</v>
      </c>
      <c r="C4" s="13">
        <f>_JAHR</f>
        <v>2022</v>
      </c>
      <c r="D4" s="256" t="s">
        <v>1257</v>
      </c>
      <c r="E4" s="318">
        <f>_UKZ</f>
        <v>0</v>
      </c>
      <c r="F4" s="256" t="s">
        <v>1258</v>
      </c>
      <c r="H4" s="13">
        <f>_NAME</f>
        <v>0</v>
      </c>
    </row>
    <row r="5" spans="2:16" s="13" customFormat="1" ht="17.25" customHeight="1" x14ac:dyDescent="0.25">
      <c r="B5" s="256" t="s">
        <v>1259</v>
      </c>
      <c r="C5" s="13">
        <f>_K16</f>
        <v>0</v>
      </c>
      <c r="D5" s="256" t="s">
        <v>1260</v>
      </c>
      <c r="E5" s="13" t="str">
        <f>_K50</f>
        <v/>
      </c>
      <c r="F5" s="256" t="s">
        <v>1063</v>
      </c>
      <c r="H5" s="13" t="e">
        <f>IF(CsKz01&lt;&gt;0,"ja","nein")</f>
        <v>#DIV/0!</v>
      </c>
      <c r="I5" s="23"/>
      <c r="J5" s="23"/>
      <c r="K5" s="23"/>
      <c r="L5" s="23"/>
      <c r="M5" s="23"/>
      <c r="N5" s="23"/>
      <c r="O5" s="23"/>
      <c r="P5" s="23"/>
    </row>
    <row r="6" spans="2:16" ht="17.25" customHeight="1" x14ac:dyDescent="0.35">
      <c r="B6" s="2"/>
    </row>
    <row r="7" spans="2:16" ht="15.5" x14ac:dyDescent="0.35">
      <c r="B7" s="43"/>
    </row>
    <row r="8" spans="2:16" ht="15.5" x14ac:dyDescent="0.35">
      <c r="B8" s="43"/>
    </row>
    <row r="9" spans="2:16" ht="15.5" x14ac:dyDescent="0.35">
      <c r="B9" s="43"/>
    </row>
    <row r="10" spans="2:16" ht="15.5" x14ac:dyDescent="0.35">
      <c r="B10" s="43"/>
    </row>
    <row r="11" spans="2:16" ht="15.5" x14ac:dyDescent="0.35">
      <c r="B11" s="43"/>
    </row>
    <row r="12" spans="2:16" ht="15.5" x14ac:dyDescent="0.35">
      <c r="B12" s="43"/>
    </row>
    <row r="13" spans="2:16" ht="15.5" x14ac:dyDescent="0.35">
      <c r="B13" s="2"/>
    </row>
    <row r="14" spans="2:16" ht="13" x14ac:dyDescent="0.3">
      <c r="B14" s="1" t="s">
        <v>839</v>
      </c>
      <c r="E14" s="1" t="s">
        <v>531</v>
      </c>
    </row>
    <row r="15" spans="2:16" ht="13" x14ac:dyDescent="0.3">
      <c r="D15" s="36"/>
      <c r="E15" s="1"/>
    </row>
    <row r="16" spans="2:16" ht="13" x14ac:dyDescent="0.3">
      <c r="B16" s="1" t="s">
        <v>335</v>
      </c>
      <c r="E16" t="s">
        <v>363</v>
      </c>
      <c r="F16" t="str">
        <f>IF(ISBLANK(_JAHR),"leer, Fehler","ok")</f>
        <v>ok</v>
      </c>
    </row>
    <row r="17" spans="2:10" x14ac:dyDescent="0.25">
      <c r="B17" t="str">
        <f>IF(OR(ISBLANK(_UKZ),ISBLANK(_REFO),ISBLANK(_NAME),ISBLANK(_EIGT),ISBLANK(__PB02)),"Wichtige Angaben könnten fehlen","ok")</f>
        <v>Wichtige Angaben könnten fehlen</v>
      </c>
      <c r="E17" t="s">
        <v>533</v>
      </c>
      <c r="F17" t="str">
        <f>IF(ISBLANK(_NAME),"leer, Fehler","ok")</f>
        <v>leer, Fehler</v>
      </c>
    </row>
    <row r="18" spans="2:10" x14ac:dyDescent="0.25">
      <c r="E18" t="s">
        <v>879</v>
      </c>
      <c r="F18" t="str">
        <f>IF(ISBLANK(_BILF),"leer, Fehler","ok")</f>
        <v>leer, Fehler</v>
      </c>
    </row>
    <row r="19" spans="2:10" ht="13" x14ac:dyDescent="0.3">
      <c r="B19" s="1" t="s">
        <v>886</v>
      </c>
      <c r="E19" t="s">
        <v>838</v>
      </c>
      <c r="F19" t="str">
        <f>IF(ISBLANK(_BEAU),"leer, Fehler","ok")</f>
        <v>leer, Fehler</v>
      </c>
    </row>
    <row r="20" spans="2:10" x14ac:dyDescent="0.25">
      <c r="B20" t="str">
        <f>IF(OR(ISBLANK(_MW10),ISBLANK(_LW10),ISBLANK(_LW05),ISBLANK(_EE01),ISBLANK(_EN10)),"Wichtige Angaben könnten fehlen","ok")</f>
        <v>Wichtige Angaben könnten fehlen</v>
      </c>
      <c r="E20" t="s">
        <v>817</v>
      </c>
      <c r="F20" t="str">
        <f>IF(OR(_REFO=1,_REFO=2,_REFO=3,_REFO=4),"ok","Fehler")</f>
        <v>Fehler</v>
      </c>
    </row>
    <row r="21" spans="2:10" x14ac:dyDescent="0.25">
      <c r="E21" t="s">
        <v>818</v>
      </c>
      <c r="F21" t="str">
        <f>IF(OR(_EINH=1,_EINH=2,_EINH=3,_EINH=4,_EINH=5,_EINH=6),"ok","Fehler")</f>
        <v>Fehler</v>
      </c>
    </row>
    <row r="22" spans="2:10" ht="13" x14ac:dyDescent="0.3">
      <c r="B22" s="1" t="s">
        <v>887</v>
      </c>
      <c r="E22" t="s">
        <v>819</v>
      </c>
      <c r="F22" t="str">
        <f>IF(OR(_REGI=1,_REGI=2),"ok","Fehler")</f>
        <v>Fehler</v>
      </c>
    </row>
    <row r="23" spans="2:10" x14ac:dyDescent="0.25">
      <c r="B23" t="str">
        <f>IF(OR(ISBLANK(_AV08),ISBLANK(_AV09),ISBLANK(_AV10),ISBLANK(_AK08),ISBLANK(_UV10),ISBLANK(_UV20)),"Wichtige Angaben könnten fehlen","ok")</f>
        <v>Wichtige Angaben könnten fehlen</v>
      </c>
      <c r="E23" t="s">
        <v>820</v>
      </c>
      <c r="F23" t="str">
        <f>IF(OR(_BAUT=1,_BAUT=2,_BAUT=3,_BAUT=4),"ok","Fehler")</f>
        <v>Fehler</v>
      </c>
    </row>
    <row r="24" spans="2:10" x14ac:dyDescent="0.25">
      <c r="E24" t="s">
        <v>821</v>
      </c>
      <c r="F24" t="str">
        <f>IF(OR(_PERS=1,_PERS=2,_PERS=3,_PERS=4,_PERS=5),"ok","Fehler")</f>
        <v>Fehler</v>
      </c>
    </row>
    <row r="25" spans="2:10" ht="13" x14ac:dyDescent="0.3">
      <c r="B25" s="1" t="s">
        <v>888</v>
      </c>
      <c r="E25" t="s">
        <v>822</v>
      </c>
      <c r="F25" t="str">
        <f>IF(OR(_VERB=1,_VERB=2,_VERB=3,_VERB=4,_VERB=5,_VERB=6,_VERB=7,_VERB=8,_VERB=9,_VERB=10,_VERB=11),"ok","Fehler")</f>
        <v>Fehler</v>
      </c>
    </row>
    <row r="26" spans="2:10" x14ac:dyDescent="0.25">
      <c r="B26" t="str">
        <f>IF(OR(ISBLANK(_EK09),ISBLANK(_EK10),ISBLANK(_LR10),ISBLANK(_LR09)),"Wichtige Angaben könnten fehlen","ok")</f>
        <v>Wichtige Angaben könnten fehlen</v>
      </c>
      <c r="E26" t="s">
        <v>884</v>
      </c>
      <c r="F26" t="str">
        <f>IF(ISBLANK(_UKZ),"leer, Fehler",IF(NOT(LEN(_UKZ)=7),"Fehler, nicht 7 Stellen","ok"))</f>
        <v>leer, Fehler</v>
      </c>
    </row>
    <row r="27" spans="2:10" x14ac:dyDescent="0.25">
      <c r="J27" s="31"/>
    </row>
    <row r="28" spans="2:10" ht="13" x14ac:dyDescent="0.3">
      <c r="B28" s="1" t="s">
        <v>889</v>
      </c>
      <c r="E28" s="1" t="s">
        <v>845</v>
      </c>
    </row>
    <row r="29" spans="2:10" x14ac:dyDescent="0.25">
      <c r="B29" t="str">
        <f>IF(OR(ISBLANK(_TI10),ISBLANK(_GK10)),"Wichtige Angaben könnten fehlen","ok")</f>
        <v>Wichtige Angaben könnten fehlen</v>
      </c>
      <c r="E29" t="s">
        <v>846</v>
      </c>
      <c r="F29" t="str">
        <f>IF(AND(NOT(ISBLANK(_PB30)),NOT(_BA09=""),NOT(ISBLANK(_BA14))),"I und II", "nur I")</f>
        <v>nur I</v>
      </c>
      <c r="I29" s="319"/>
      <c r="J29" s="354"/>
    </row>
    <row r="30" spans="2:10" ht="13" x14ac:dyDescent="0.3">
      <c r="E30" s="1" t="s">
        <v>887</v>
      </c>
      <c r="I30" s="354"/>
      <c r="J30" s="354"/>
    </row>
    <row r="31" spans="2:10" ht="13" x14ac:dyDescent="0.3">
      <c r="B31" s="1" t="s">
        <v>890</v>
      </c>
      <c r="E31" t="s">
        <v>385</v>
      </c>
      <c r="F31" t="str">
        <f>IF(ABS(_AV10-(_IV10+_AV08+_AV09))&lt;5,"ok","Fehler")</f>
        <v>ok</v>
      </c>
      <c r="H31" s="44" t="str">
        <f>IF(F31="Fehler",_AV10-(_IV10+_AV08+_AV09),"")</f>
        <v/>
      </c>
      <c r="I31" s="354"/>
      <c r="J31" s="354"/>
    </row>
    <row r="32" spans="2:10" x14ac:dyDescent="0.25">
      <c r="B32" t="str">
        <f>IF(OR(ISBLANK(_UE10),ISBLANK(_UE01),ISBLANK(_UE02),ISBLANK(_UE05)),"Wichtige Angaben könnten fehlen","ok")</f>
        <v>Wichtige Angaben könnten fehlen</v>
      </c>
      <c r="E32" t="s">
        <v>388</v>
      </c>
      <c r="F32" t="e">
        <f>IF(ABS(_BS10-_GK10)&lt;5,"ok","Fehler")</f>
        <v>#VALUE!</v>
      </c>
      <c r="H32" s="44" t="e">
        <f>IF(F32="Fehler",_BS10-_GK10,"")</f>
        <v>#VALUE!</v>
      </c>
      <c r="I32" s="354"/>
      <c r="J32" s="354"/>
    </row>
    <row r="33" spans="2:10" ht="13" x14ac:dyDescent="0.3">
      <c r="E33" s="1" t="s">
        <v>1200</v>
      </c>
      <c r="H33" s="44"/>
      <c r="I33" s="354"/>
      <c r="J33" s="354"/>
    </row>
    <row r="34" spans="2:10" ht="13" x14ac:dyDescent="0.3">
      <c r="B34" s="1" t="s">
        <v>891</v>
      </c>
      <c r="E34" t="s">
        <v>402</v>
      </c>
      <c r="F34" t="str">
        <f>IF(ABS(_GK10-(_EK10+_SP10+IF(_LR10="",0,_LR10)+IF(_FK10="",0,_FK10)+IF(_FK50="",0,_FK50)+_SL10+_LV10+_KV10))&lt;5,"ok","Fehler")</f>
        <v>ok</v>
      </c>
      <c r="H34" s="44" t="str">
        <f>IF(F34="Fehler",_GK10-(_EK10+_SP10+IF(_LR10="",0,_LR10)+IF(_FK10="",0,_FK10)+IF(_FK50="",0,_FK50)+_SL10+_LV10+_KV10),"")</f>
        <v/>
      </c>
      <c r="I34" s="354"/>
      <c r="J34" s="354"/>
    </row>
    <row r="35" spans="2:10" ht="13" x14ac:dyDescent="0.3">
      <c r="B35" t="str">
        <f>IF(OR(ISBLANK(_XX14),ISBLANK(_BV10)),"Wichtige Angaben könnten fehlen","ok")</f>
        <v>Wichtige Angaben könnten fehlen</v>
      </c>
      <c r="E35" s="1" t="s">
        <v>889</v>
      </c>
      <c r="H35" s="44"/>
      <c r="I35" s="354"/>
      <c r="J35" s="354"/>
    </row>
    <row r="36" spans="2:10" x14ac:dyDescent="0.25">
      <c r="E36" s="7" t="s">
        <v>398</v>
      </c>
      <c r="F36" t="str">
        <f>IF(_TI10&gt;0,"ok","Eingabe fehlt")</f>
        <v>Eingabe fehlt</v>
      </c>
      <c r="H36" s="44"/>
      <c r="I36" s="354"/>
      <c r="J36" s="354"/>
    </row>
    <row r="37" spans="2:10" ht="13" x14ac:dyDescent="0.3">
      <c r="B37" s="1" t="s">
        <v>892</v>
      </c>
      <c r="E37" s="1" t="s">
        <v>890</v>
      </c>
      <c r="H37" s="44"/>
      <c r="I37" s="354"/>
      <c r="J37" s="354"/>
    </row>
    <row r="38" spans="2:10" x14ac:dyDescent="0.25">
      <c r="B38" t="str">
        <f>IF(OR(ISBLANK(_AH10),ISBLANK(_BK01),ISBLANK(_IK01),ISBLANK(_LG10),ISBLANK(_SA10),),"Wichtige Angaben könnten fehlen","ok")</f>
        <v>Wichtige Angaben könnten fehlen</v>
      </c>
      <c r="E38" t="s">
        <v>403</v>
      </c>
      <c r="F38" t="str">
        <f>IF(_UE10=_XX13,"ok","Fehler")</f>
        <v>ok</v>
      </c>
      <c r="H38" s="44" t="str">
        <f>IF(F38="Fehler",_UE10-_XX13,"")</f>
        <v/>
      </c>
      <c r="I38" s="354"/>
      <c r="J38" s="354"/>
    </row>
    <row r="39" spans="2:10" x14ac:dyDescent="0.25">
      <c r="E39" t="s">
        <v>48</v>
      </c>
      <c r="F39" t="str">
        <f>IF(AND(_EE01&lt;&gt;0,_UE05=0),"Fehler, Sie haben eigene Wohnungen (S.2 - EE01), aber keine Angabe zu den Wohnungsollmieten","ok")</f>
        <v>ok</v>
      </c>
      <c r="H39" s="44"/>
      <c r="I39" s="354"/>
      <c r="J39" s="354"/>
    </row>
    <row r="40" spans="2:10" ht="13" x14ac:dyDescent="0.3">
      <c r="B40" s="1" t="s">
        <v>893</v>
      </c>
      <c r="E40" s="1" t="s">
        <v>891</v>
      </c>
      <c r="H40" s="44"/>
      <c r="I40" s="354"/>
      <c r="J40" s="354"/>
    </row>
    <row r="41" spans="2:10" x14ac:dyDescent="0.25">
      <c r="B41" t="str">
        <f>IF(OR(ISBLANK(_ZA10),ISBLANK(_GW10)),"Wichtige Angaben könnten fehlen","ok")</f>
        <v>Wichtige Angaben könnten fehlen</v>
      </c>
      <c r="E41" t="s">
        <v>415</v>
      </c>
      <c r="F41" t="str">
        <f>IF(_SE10=_XX17,"ok","Fehler")</f>
        <v>ok</v>
      </c>
      <c r="H41" s="44" t="str">
        <f>IF(F41="Fehler",_SE10-_XX17,"")</f>
        <v/>
      </c>
      <c r="I41" s="354"/>
      <c r="J41" s="354"/>
    </row>
    <row r="42" spans="2:10" x14ac:dyDescent="0.25">
      <c r="E42" t="s">
        <v>588</v>
      </c>
      <c r="F42" t="str">
        <f>IF(_XX14=_XX16,"ok","Fehler")</f>
        <v>ok</v>
      </c>
      <c r="H42" s="44" t="str">
        <f>IF(F42="Fehler",_XX14-_XX16,"")</f>
        <v/>
      </c>
      <c r="I42" s="354"/>
      <c r="J42" s="354"/>
    </row>
    <row r="43" spans="2:10" ht="13" x14ac:dyDescent="0.3">
      <c r="B43" s="1" t="s">
        <v>1198</v>
      </c>
      <c r="E43" s="1" t="s">
        <v>892</v>
      </c>
      <c r="H43" s="44"/>
      <c r="I43" s="354"/>
      <c r="J43" s="354"/>
    </row>
    <row r="44" spans="2:10" x14ac:dyDescent="0.25">
      <c r="B44" t="str">
        <f>IF(OR(ISBLANK(_BA09),ISBLANK(_PB30),ISBLANK(_BA14)),"Wichtige Angaben könnten fehlen","ok")</f>
        <v>Wichtige Angaben könnten fehlen</v>
      </c>
      <c r="E44" s="7" t="s">
        <v>443</v>
      </c>
      <c r="F44" s="45" t="str">
        <f>IF(AND(_TEIL="I und II",ISBLANK(_AH01)),"Fehler","ok")</f>
        <v>ok</v>
      </c>
      <c r="H44" s="45" t="str">
        <f>IF(F44="Fehler","Abschreibungen auf Hausbewirtschaftung müssen &gt;0 sein","")</f>
        <v/>
      </c>
      <c r="I44" s="354"/>
      <c r="J44" s="354"/>
    </row>
    <row r="45" spans="2:10" x14ac:dyDescent="0.25">
      <c r="E45" s="7" t="s">
        <v>420</v>
      </c>
      <c r="F45" s="7" t="str">
        <f>IF(_AH10=_XX18,"ok","Fehler")</f>
        <v>ok</v>
      </c>
      <c r="H45" s="45" t="str">
        <f>IF(F45="Fehler",_AH10-_XX18,"")</f>
        <v/>
      </c>
      <c r="I45" s="354"/>
      <c r="J45" s="354"/>
    </row>
    <row r="46" spans="2:10" ht="13" x14ac:dyDescent="0.3">
      <c r="B46" s="1"/>
      <c r="E46" t="s">
        <v>439</v>
      </c>
      <c r="F46" t="str">
        <f>IF(_AA10=_XX20,"ok","Fehler")</f>
        <v>ok</v>
      </c>
      <c r="H46" s="46" t="str">
        <f>IF(F46="Fehler",_AA10-_XX20,"")</f>
        <v/>
      </c>
      <c r="I46" s="354"/>
      <c r="J46" s="354"/>
    </row>
    <row r="47" spans="2:10" x14ac:dyDescent="0.25">
      <c r="E47" t="s">
        <v>445</v>
      </c>
      <c r="F47" t="str">
        <f>IF(_SA10=_XX23,"ok","Fehler")</f>
        <v>ok</v>
      </c>
      <c r="G47" s="7"/>
      <c r="H47" s="44" t="str">
        <f>IF(F47="Fehler",_SA10-_XX23,"")</f>
        <v/>
      </c>
      <c r="I47" s="319"/>
      <c r="J47" s="319"/>
    </row>
    <row r="48" spans="2:10" ht="13" x14ac:dyDescent="0.3">
      <c r="E48" s="1" t="s">
        <v>893</v>
      </c>
      <c r="G48" s="7"/>
      <c r="H48" s="44"/>
      <c r="I48" s="319"/>
      <c r="J48" s="319"/>
    </row>
    <row r="49" spans="2:11" x14ac:dyDescent="0.25">
      <c r="E49" t="s">
        <v>447</v>
      </c>
      <c r="F49" t="str">
        <f>IF(_ZA10=_XX24,"ok","Fehler")</f>
        <v>ok</v>
      </c>
      <c r="H49" s="45" t="str">
        <f>IF(F49="Fehler",_ZA10-_XX24,"")</f>
        <v/>
      </c>
      <c r="I49" s="354"/>
      <c r="J49" s="354"/>
    </row>
    <row r="50" spans="2:11" x14ac:dyDescent="0.25">
      <c r="E50" t="s">
        <v>453</v>
      </c>
      <c r="F50" t="str">
        <f>IF(AND(_TEIL="I und II",ISBLANK(_ZH10)),"Fehler","ok")</f>
        <v>ok</v>
      </c>
      <c r="H50" s="45" t="str">
        <f>IF(F50="Fehler","Zinsen auf Hausbewirtschaftung müssen &gt;0 sein","")</f>
        <v/>
      </c>
      <c r="I50" s="354"/>
      <c r="J50" s="354"/>
      <c r="K50" s="7"/>
    </row>
    <row r="51" spans="2:11" x14ac:dyDescent="0.25">
      <c r="E51" t="s">
        <v>456</v>
      </c>
      <c r="F51" t="str">
        <f>IF(ABS(_GW10-_GW20-(_UE10+_UE20+_UE30+_UE40+_XX14+_AE01+_SE10+_EB01+_EW01+_EZ02+_EA01-_AH10-_LG10-_AS04-_AA10-_AA01-_AA02-_AF10-_SA10-_ZA10-_AA03-_AA04-_ST10-_XX25))&lt;5,"ok","Fehler")</f>
        <v>ok</v>
      </c>
      <c r="H51" s="45" t="str">
        <f>IF(F51="Fehler",_GW10-_GW20-(_UE10+_UE20+_UE30+_UE40+_XX14+_AE01+_SE10+_EB01+_EW01+_EZ02+_EA01-_AH10-_AA01-_AA02-_LG10-_AA10-_AF10-_SA10-_AS04-_ZA10-_AA03-_AA04-_ST10-_XX25),"")</f>
        <v/>
      </c>
      <c r="I51" s="355"/>
      <c r="J51" s="354"/>
      <c r="K51" s="7"/>
    </row>
    <row r="52" spans="2:11" ht="13" x14ac:dyDescent="0.3">
      <c r="E52" s="1" t="str">
        <f>IF(_TEIL="I und II","Teil II","")</f>
        <v/>
      </c>
      <c r="H52" s="45"/>
      <c r="I52" s="354"/>
      <c r="J52" s="354"/>
    </row>
    <row r="53" spans="2:11" x14ac:dyDescent="0.25">
      <c r="E53" t="str">
        <f>IF(_TEIL="I und II","LG10","")</f>
        <v/>
      </c>
      <c r="F53" t="str">
        <f>IF(_TEIL="I und II",IF(_LG10=_XX19,"ok","Fehler"),"")</f>
        <v/>
      </c>
      <c r="H53" s="44" t="str">
        <f>IF(_TEIL="I und II",IF(F53="Fehler",_LG10-_XX19,""),"")</f>
        <v/>
      </c>
      <c r="I53" s="354"/>
      <c r="J53" s="354"/>
    </row>
    <row r="54" spans="2:11" x14ac:dyDescent="0.25">
      <c r="E54" t="str">
        <f>IF(_TEIL="I und II","BA10","")</f>
        <v/>
      </c>
      <c r="F54" t="str">
        <f>IF(_TEIL="I und II",IF(_BA10=_BA20,"ok","Fehler"),"")</f>
        <v/>
      </c>
      <c r="H54" s="44" t="str">
        <f>IF(_TEIL="I und II",IF(F54="Fehler",_BA10-_BA20,""),"")</f>
        <v/>
      </c>
      <c r="I54" s="354"/>
      <c r="J54" s="354"/>
    </row>
    <row r="55" spans="2:11" x14ac:dyDescent="0.25">
      <c r="E55" t="str">
        <f>IF(_TEIL="I und II","PB30","")</f>
        <v/>
      </c>
      <c r="F55" t="str">
        <f>IF(_TEIL="I und II",IF(ISBLANK(_PB30),"Eingabe fehlt","ok"),"")</f>
        <v/>
      </c>
      <c r="H55" s="44"/>
      <c r="I55" s="354"/>
      <c r="J55" s="354"/>
    </row>
    <row r="56" spans="2:11" x14ac:dyDescent="0.25">
      <c r="H56" s="44"/>
    </row>
    <row r="57" spans="2:11" ht="28.5" customHeight="1" x14ac:dyDescent="0.25">
      <c r="B57" s="485" t="e">
        <f>IF(CsKz01&lt;&gt;0,"Bitte prüfen sie im Blatt \Kennzahlen/ die Werte für Ihr Unternehmen -&gt; falls diese begründet außerhalb eines Erwartungsbereichs liegen, geben sie bitte eine kurze Begründung im entsprechenden Kommentarfeld an.","ok")</f>
        <v>#DIV/0!</v>
      </c>
      <c r="C57" s="485"/>
      <c r="D57" s="485"/>
      <c r="E57" s="485"/>
      <c r="F57" s="485"/>
      <c r="G57" s="485"/>
      <c r="H57" s="485"/>
      <c r="I57" s="485"/>
      <c r="J57" s="485"/>
    </row>
    <row r="58" spans="2:11" x14ac:dyDescent="0.25">
      <c r="B58" t="e">
        <f>IF(CsKz01&lt;&gt;0,"Kennzahlen außerhalb des Erwartungsbereichs:","")</f>
        <v>#DIV/0!</v>
      </c>
      <c r="F58" t="e">
        <f>CsKz01</f>
        <v>#DIV/0!</v>
      </c>
      <c r="H58" s="44"/>
    </row>
    <row r="59" spans="2:11" x14ac:dyDescent="0.25">
      <c r="H59" s="44"/>
    </row>
    <row r="60" spans="2:11" x14ac:dyDescent="0.25">
      <c r="H60" s="44"/>
    </row>
    <row r="61" spans="2:11" x14ac:dyDescent="0.25">
      <c r="H61" s="44"/>
    </row>
    <row r="62" spans="2:11" x14ac:dyDescent="0.25">
      <c r="H62" s="44"/>
    </row>
    <row r="63" spans="2:11" x14ac:dyDescent="0.25">
      <c r="H63" s="44"/>
    </row>
    <row r="64" spans="2:11" x14ac:dyDescent="0.25">
      <c r="H64" s="44"/>
    </row>
    <row r="65" spans="2:8" x14ac:dyDescent="0.25">
      <c r="H65" s="44"/>
    </row>
    <row r="66" spans="2:8" x14ac:dyDescent="0.25">
      <c r="H66" s="44"/>
    </row>
    <row r="67" spans="2:8" x14ac:dyDescent="0.25">
      <c r="H67" s="44"/>
    </row>
    <row r="77" spans="2:8" ht="13" x14ac:dyDescent="0.3">
      <c r="B77" s="1"/>
    </row>
    <row r="89" spans="2:2" ht="13" x14ac:dyDescent="0.3">
      <c r="B89" s="1"/>
    </row>
    <row r="99" spans="2:2" ht="13" x14ac:dyDescent="0.3">
      <c r="B99" s="1"/>
    </row>
    <row r="119" spans="2:2" ht="13" x14ac:dyDescent="0.3">
      <c r="B119" s="1"/>
    </row>
    <row r="132" spans="2:2" ht="13" x14ac:dyDescent="0.3">
      <c r="B132" s="1"/>
    </row>
    <row r="148" spans="2:2" ht="13" x14ac:dyDescent="0.3">
      <c r="B148" s="1"/>
    </row>
    <row r="163" spans="2:2" ht="13" x14ac:dyDescent="0.3">
      <c r="B163" s="1"/>
    </row>
    <row r="171" spans="2:2" ht="13" x14ac:dyDescent="0.3">
      <c r="B171" s="1"/>
    </row>
  </sheetData>
  <sheetProtection password="92CE" sheet="1"/>
  <mergeCells count="1">
    <mergeCell ref="B57:J57"/>
  </mergeCells>
  <phoneticPr fontId="0" type="noConversion"/>
  <conditionalFormatting sqref="I5:P5 B57:J57">
    <cfRule type="cellIs" dxfId="0" priority="1" stopIfTrue="1" operator="notEqual">
      <formula>"ok"</formula>
    </cfRule>
  </conditionalFormatting>
  <pageMargins left="0.78740157499999996" right="0.78740157499999996" top="0.984251969" bottom="0.984251969" header="0.4921259845" footer="0.4921259845"/>
  <pageSetup paperSize="9" scale="77" fitToHeight="0" orientation="portrait" horizontalDpi="4294967292" verticalDpi="300" r:id="rId1"/>
  <headerFooter alignWithMargins="0">
    <oddFooter>&amp;C&amp;"Arial,Fett"Kontrollblatt</oddFooter>
  </headerFooter>
  <drawing r:id="rId2"/>
  <legacyDrawing r:id="rId3"/>
  <controls>
    <mc:AlternateContent xmlns:mc="http://schemas.openxmlformats.org/markup-compatibility/2006">
      <mc:Choice Requires="x14">
        <control shapeId="4099" r:id="rId4" name="DruckenKnopf">
          <controlPr defaultSize="0" autoLine="0" r:id="rId5">
            <anchor moveWithCells="1">
              <from>
                <xdr:col>1</xdr:col>
                <xdr:colOff>57150</xdr:colOff>
                <xdr:row>10</xdr:row>
                <xdr:rowOff>0</xdr:rowOff>
              </from>
              <to>
                <xdr:col>3</xdr:col>
                <xdr:colOff>666750</xdr:colOff>
                <xdr:row>11</xdr:row>
                <xdr:rowOff>184150</xdr:rowOff>
              </to>
            </anchor>
          </controlPr>
        </control>
      </mc:Choice>
      <mc:Fallback>
        <control shapeId="4099" r:id="rId4" name="DruckenKnopf"/>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8">
    <pageSetUpPr fitToPage="1"/>
  </sheetPr>
  <dimension ref="B1:H74"/>
  <sheetViews>
    <sheetView showGridLines="0" showRowColHeaders="0" topLeftCell="A31" zoomScaleNormal="100" workbookViewId="0">
      <selection activeCell="A74" sqref="A74"/>
    </sheetView>
  </sheetViews>
  <sheetFormatPr baseColWidth="10" defaultColWidth="11.453125" defaultRowHeight="12.5" x14ac:dyDescent="0.25"/>
  <cols>
    <col min="1" max="1" width="5.7265625" customWidth="1"/>
    <col min="2" max="2" width="3.7265625" customWidth="1"/>
    <col min="3" max="3" width="35.7265625" customWidth="1"/>
    <col min="4" max="4" width="2.81640625" customWidth="1"/>
    <col min="5" max="6" width="14.7265625" style="66" customWidth="1"/>
    <col min="7" max="7" width="2.453125" customWidth="1"/>
  </cols>
  <sheetData>
    <row r="1" spans="2:8" ht="20.25" customHeight="1" x14ac:dyDescent="0.25"/>
    <row r="2" spans="2:8" ht="18" x14ac:dyDescent="0.4">
      <c r="B2" s="82" t="str">
        <f>"Struktur-Bilanz zum 31.12."&amp;_JAHR</f>
        <v>Struktur-Bilanz zum 31.12.2022</v>
      </c>
    </row>
    <row r="3" spans="2:8" ht="12" customHeight="1" x14ac:dyDescent="0.25">
      <c r="C3" s="32"/>
      <c r="E3" s="328"/>
    </row>
    <row r="4" spans="2:8" ht="8.15" customHeight="1" x14ac:dyDescent="0.35">
      <c r="B4" s="226"/>
      <c r="C4" s="124"/>
      <c r="E4" s="227"/>
      <c r="F4" s="227"/>
    </row>
    <row r="5" spans="2:8" ht="6" customHeight="1" x14ac:dyDescent="0.35">
      <c r="B5" s="2"/>
      <c r="H5" s="63"/>
    </row>
    <row r="6" spans="2:8" ht="15.5" x14ac:dyDescent="0.35">
      <c r="C6" s="2" t="s">
        <v>195</v>
      </c>
      <c r="E6" s="228" t="s">
        <v>196</v>
      </c>
      <c r="F6" s="228" t="s">
        <v>196</v>
      </c>
      <c r="H6" s="3" t="s">
        <v>197</v>
      </c>
    </row>
    <row r="7" spans="2:8" ht="6" customHeight="1" x14ac:dyDescent="0.3">
      <c r="B7" s="124"/>
      <c r="C7" s="124"/>
      <c r="E7" s="229"/>
      <c r="F7" s="229"/>
      <c r="H7" s="124"/>
    </row>
    <row r="9" spans="2:8" ht="13" x14ac:dyDescent="0.3">
      <c r="B9" s="8" t="s">
        <v>198</v>
      </c>
      <c r="C9" s="8" t="s">
        <v>199</v>
      </c>
    </row>
    <row r="10" spans="2:8" ht="8.15" customHeight="1" x14ac:dyDescent="0.25"/>
    <row r="11" spans="2:8" x14ac:dyDescent="0.25">
      <c r="B11" s="7" t="s">
        <v>200</v>
      </c>
      <c r="C11" s="32" t="s">
        <v>201</v>
      </c>
      <c r="E11" s="230"/>
      <c r="F11" s="230">
        <f>_IV10</f>
        <v>0</v>
      </c>
      <c r="H11" t="s">
        <v>202</v>
      </c>
    </row>
    <row r="12" spans="2:8" ht="8.15" customHeight="1" x14ac:dyDescent="0.25">
      <c r="B12" s="7"/>
      <c r="C12" s="32"/>
      <c r="E12" s="230"/>
      <c r="F12" s="230"/>
    </row>
    <row r="13" spans="2:8" x14ac:dyDescent="0.25">
      <c r="B13" s="7" t="s">
        <v>203</v>
      </c>
      <c r="C13" s="32" t="s">
        <v>204</v>
      </c>
      <c r="E13" s="230"/>
      <c r="F13" s="230">
        <f>_AV08</f>
        <v>0</v>
      </c>
      <c r="H13" t="s">
        <v>205</v>
      </c>
    </row>
    <row r="14" spans="2:8" ht="6" customHeight="1" x14ac:dyDescent="0.25">
      <c r="B14" s="7"/>
      <c r="C14" s="32"/>
      <c r="E14" s="230"/>
      <c r="F14" s="230"/>
    </row>
    <row r="15" spans="2:8" x14ac:dyDescent="0.25">
      <c r="B15" s="7" t="s">
        <v>206</v>
      </c>
      <c r="C15" s="32" t="s">
        <v>207</v>
      </c>
      <c r="E15" s="230"/>
      <c r="F15" s="230">
        <f>_AV09</f>
        <v>0</v>
      </c>
      <c r="H15" t="s">
        <v>208</v>
      </c>
    </row>
    <row r="16" spans="2:8" ht="6" customHeight="1" x14ac:dyDescent="0.25">
      <c r="C16" s="32"/>
      <c r="E16" s="230"/>
      <c r="F16" s="231"/>
    </row>
    <row r="17" spans="2:8" ht="6" customHeight="1" x14ac:dyDescent="0.25">
      <c r="C17" s="32"/>
      <c r="E17" s="230"/>
      <c r="F17" s="230"/>
    </row>
    <row r="18" spans="2:8" ht="13" x14ac:dyDescent="0.3">
      <c r="C18" s="8" t="s">
        <v>209</v>
      </c>
      <c r="E18" s="230"/>
      <c r="F18" s="230">
        <f>SUM(F11:F15)</f>
        <v>0</v>
      </c>
    </row>
    <row r="19" spans="2:8" ht="6" customHeight="1" x14ac:dyDescent="0.25">
      <c r="C19" s="32"/>
    </row>
    <row r="20" spans="2:8" ht="6" customHeight="1" x14ac:dyDescent="0.25">
      <c r="C20" s="32"/>
    </row>
    <row r="21" spans="2:8" ht="13" x14ac:dyDescent="0.3">
      <c r="B21" s="8" t="s">
        <v>210</v>
      </c>
      <c r="C21" s="8" t="s">
        <v>211</v>
      </c>
    </row>
    <row r="22" spans="2:8" ht="8.15" customHeight="1" x14ac:dyDescent="0.25"/>
    <row r="23" spans="2:8" ht="13" x14ac:dyDescent="0.3">
      <c r="B23" s="8"/>
      <c r="C23" s="232" t="s">
        <v>212</v>
      </c>
    </row>
    <row r="24" spans="2:8" x14ac:dyDescent="0.25">
      <c r="C24" s="232" t="s">
        <v>213</v>
      </c>
    </row>
    <row r="25" spans="2:8" x14ac:dyDescent="0.25">
      <c r="C25" s="232" t="s">
        <v>214</v>
      </c>
    </row>
    <row r="26" spans="2:8" x14ac:dyDescent="0.25">
      <c r="C26" s="232" t="s">
        <v>215</v>
      </c>
    </row>
    <row r="27" spans="2:8" ht="8.15" customHeight="1" x14ac:dyDescent="0.25">
      <c r="C27" s="32"/>
    </row>
    <row r="28" spans="2:8" x14ac:dyDescent="0.25">
      <c r="B28" s="7" t="s">
        <v>200</v>
      </c>
      <c r="C28" s="32" t="s">
        <v>216</v>
      </c>
      <c r="E28" s="230"/>
      <c r="F28" s="230">
        <f>_UV20</f>
        <v>0</v>
      </c>
      <c r="H28" t="s">
        <v>217</v>
      </c>
    </row>
    <row r="29" spans="2:8" ht="6" customHeight="1" x14ac:dyDescent="0.25">
      <c r="B29" s="7"/>
      <c r="C29" s="32"/>
      <c r="E29" s="230"/>
      <c r="F29" s="230"/>
    </row>
    <row r="30" spans="2:8" x14ac:dyDescent="0.25">
      <c r="B30" s="7" t="s">
        <v>218</v>
      </c>
      <c r="C30" s="32" t="s">
        <v>219</v>
      </c>
      <c r="E30" s="230"/>
      <c r="F30" s="230">
        <f>_UV10</f>
        <v>0</v>
      </c>
      <c r="H30" t="s">
        <v>220</v>
      </c>
    </row>
    <row r="31" spans="2:8" ht="6" customHeight="1" x14ac:dyDescent="0.25">
      <c r="C31" s="32"/>
      <c r="E31" s="233"/>
      <c r="F31" s="233"/>
    </row>
    <row r="32" spans="2:8" ht="6" customHeight="1" x14ac:dyDescent="0.25">
      <c r="B32" s="124"/>
      <c r="C32" s="234"/>
      <c r="E32" s="235"/>
      <c r="F32" s="235"/>
    </row>
    <row r="33" spans="2:8" ht="8.15" customHeight="1" x14ac:dyDescent="0.25">
      <c r="C33" s="32"/>
      <c r="E33" s="233"/>
      <c r="F33" s="233"/>
    </row>
    <row r="34" spans="2:8" ht="14" x14ac:dyDescent="0.3">
      <c r="C34" s="139" t="s">
        <v>537</v>
      </c>
      <c r="E34" s="233"/>
      <c r="F34" s="236">
        <f>SUM(F18:F30)</f>
        <v>0</v>
      </c>
    </row>
    <row r="35" spans="2:8" ht="10" customHeight="1" thickBot="1" x14ac:dyDescent="0.3">
      <c r="B35" s="237"/>
      <c r="C35" s="238"/>
      <c r="E35" s="239"/>
      <c r="F35" s="239"/>
    </row>
    <row r="36" spans="2:8" ht="13" thickTop="1" x14ac:dyDescent="0.25">
      <c r="C36" s="32"/>
      <c r="E36" s="233"/>
      <c r="F36" s="233"/>
    </row>
    <row r="37" spans="2:8" ht="15.5" x14ac:dyDescent="0.35">
      <c r="B37" s="226"/>
      <c r="C37" s="124"/>
      <c r="E37" s="227"/>
      <c r="F37" s="227"/>
    </row>
    <row r="38" spans="2:8" ht="6" customHeight="1" x14ac:dyDescent="0.35">
      <c r="B38" s="2"/>
    </row>
    <row r="39" spans="2:8" ht="15.5" x14ac:dyDescent="0.35">
      <c r="C39" s="2" t="s">
        <v>221</v>
      </c>
      <c r="E39" s="228" t="s">
        <v>196</v>
      </c>
      <c r="F39" s="228" t="s">
        <v>196</v>
      </c>
    </row>
    <row r="40" spans="2:8" ht="6" customHeight="1" x14ac:dyDescent="0.3">
      <c r="B40" s="124"/>
      <c r="C40" s="124"/>
      <c r="E40" s="229"/>
      <c r="F40" s="229"/>
    </row>
    <row r="41" spans="2:8" x14ac:dyDescent="0.25">
      <c r="E41" s="233"/>
      <c r="F41" s="233"/>
    </row>
    <row r="42" spans="2:8" ht="13" x14ac:dyDescent="0.3">
      <c r="B42" s="8" t="s">
        <v>198</v>
      </c>
      <c r="C42" s="1" t="s">
        <v>538</v>
      </c>
      <c r="D42" s="1"/>
      <c r="E42" s="233"/>
      <c r="F42" s="233">
        <f>_EK10</f>
        <v>0</v>
      </c>
      <c r="H42" t="s">
        <v>222</v>
      </c>
    </row>
    <row r="43" spans="2:8" ht="13" x14ac:dyDescent="0.3">
      <c r="B43" s="8"/>
      <c r="C43" s="1"/>
      <c r="D43" s="1"/>
      <c r="E43" s="233"/>
      <c r="F43" s="233"/>
    </row>
    <row r="44" spans="2:8" ht="13" x14ac:dyDescent="0.3">
      <c r="B44" s="8" t="s">
        <v>210</v>
      </c>
      <c r="C44" s="1" t="s">
        <v>223</v>
      </c>
      <c r="D44" s="32"/>
      <c r="E44" s="233"/>
      <c r="F44" s="233">
        <f>_SP10</f>
        <v>0</v>
      </c>
      <c r="H44" t="s">
        <v>224</v>
      </c>
    </row>
    <row r="45" spans="2:8" x14ac:dyDescent="0.25">
      <c r="C45" s="32"/>
      <c r="D45" s="32"/>
      <c r="E45" s="233"/>
      <c r="F45" s="233"/>
    </row>
    <row r="46" spans="2:8" ht="13" x14ac:dyDescent="0.3">
      <c r="B46" s="8" t="s">
        <v>225</v>
      </c>
      <c r="C46" s="1" t="s">
        <v>226</v>
      </c>
      <c r="D46" s="32"/>
      <c r="E46" s="233"/>
      <c r="F46" s="233"/>
    </row>
    <row r="47" spans="2:8" ht="13" x14ac:dyDescent="0.3">
      <c r="B47" s="8"/>
      <c r="C47" s="32" t="s">
        <v>227</v>
      </c>
      <c r="D47" s="32"/>
      <c r="E47" s="233">
        <f>_LR10</f>
        <v>0</v>
      </c>
      <c r="F47" s="233"/>
      <c r="H47" t="s">
        <v>228</v>
      </c>
    </row>
    <row r="48" spans="2:8" x14ac:dyDescent="0.25">
      <c r="B48" s="7"/>
      <c r="C48" s="32" t="s">
        <v>229</v>
      </c>
      <c r="E48" s="240" t="s">
        <v>230</v>
      </c>
    </row>
    <row r="49" spans="2:8" x14ac:dyDescent="0.25">
      <c r="B49" s="7"/>
      <c r="C49" s="32"/>
      <c r="E49" s="233"/>
      <c r="F49" s="233">
        <f>SUM(E47:E48)</f>
        <v>0</v>
      </c>
    </row>
    <row r="50" spans="2:8" ht="13" x14ac:dyDescent="0.3">
      <c r="B50" s="8" t="s">
        <v>231</v>
      </c>
      <c r="C50" s="1" t="s">
        <v>232</v>
      </c>
      <c r="E50" s="233"/>
      <c r="F50" s="233"/>
    </row>
    <row r="51" spans="2:8" ht="7.5" customHeight="1" x14ac:dyDescent="0.3">
      <c r="B51" s="8"/>
      <c r="C51" s="1"/>
      <c r="E51" s="233"/>
      <c r="F51" s="233"/>
    </row>
    <row r="52" spans="2:8" x14ac:dyDescent="0.25">
      <c r="C52" s="232" t="s">
        <v>233</v>
      </c>
      <c r="E52" s="233"/>
      <c r="F52" s="233"/>
    </row>
    <row r="53" spans="2:8" x14ac:dyDescent="0.25">
      <c r="C53" s="232" t="s">
        <v>234</v>
      </c>
      <c r="E53" s="233"/>
      <c r="F53" s="233"/>
    </row>
    <row r="54" spans="2:8" ht="6" customHeight="1" x14ac:dyDescent="0.25">
      <c r="C54" s="232"/>
      <c r="E54" s="233"/>
      <c r="F54" s="233"/>
    </row>
    <row r="55" spans="2:8" x14ac:dyDescent="0.25">
      <c r="B55" t="s">
        <v>911</v>
      </c>
      <c r="C55" s="32" t="s">
        <v>790</v>
      </c>
      <c r="E55" s="233">
        <f>_FK10</f>
        <v>0</v>
      </c>
      <c r="F55" s="233"/>
      <c r="H55" t="s">
        <v>235</v>
      </c>
    </row>
    <row r="56" spans="2:8" ht="5.25" customHeight="1" x14ac:dyDescent="0.25">
      <c r="C56" s="32"/>
      <c r="E56" s="233"/>
      <c r="F56" s="233"/>
    </row>
    <row r="57" spans="2:8" x14ac:dyDescent="0.25">
      <c r="B57" t="s">
        <v>933</v>
      </c>
      <c r="C57" s="32" t="s">
        <v>236</v>
      </c>
      <c r="E57" s="233">
        <f>_FK50</f>
        <v>0</v>
      </c>
      <c r="F57" s="233"/>
      <c r="H57" t="s">
        <v>237</v>
      </c>
    </row>
    <row r="58" spans="2:8" ht="5.25" customHeight="1" x14ac:dyDescent="0.25">
      <c r="C58" s="32"/>
      <c r="E58" s="233"/>
      <c r="F58" s="233"/>
    </row>
    <row r="59" spans="2:8" x14ac:dyDescent="0.25">
      <c r="B59" t="s">
        <v>939</v>
      </c>
      <c r="C59" s="32" t="s">
        <v>238</v>
      </c>
      <c r="E59" s="233">
        <f>_SL10</f>
        <v>0</v>
      </c>
      <c r="F59" s="233"/>
      <c r="H59" t="s">
        <v>239</v>
      </c>
    </row>
    <row r="60" spans="2:8" ht="5.25" customHeight="1" x14ac:dyDescent="0.25">
      <c r="C60" s="32"/>
      <c r="E60" s="233"/>
      <c r="F60" s="233"/>
    </row>
    <row r="61" spans="2:8" x14ac:dyDescent="0.25">
      <c r="B61" t="s">
        <v>947</v>
      </c>
      <c r="C61" s="32" t="s">
        <v>240</v>
      </c>
      <c r="E61" s="233">
        <f>_LV10</f>
        <v>0</v>
      </c>
      <c r="F61" s="233"/>
      <c r="H61" t="s">
        <v>241</v>
      </c>
    </row>
    <row r="62" spans="2:8" ht="5.25" customHeight="1" x14ac:dyDescent="0.25">
      <c r="C62" s="32"/>
      <c r="E62" s="233"/>
      <c r="F62" s="233"/>
    </row>
    <row r="63" spans="2:8" x14ac:dyDescent="0.25">
      <c r="B63" t="s">
        <v>952</v>
      </c>
      <c r="C63" s="32" t="s">
        <v>242</v>
      </c>
      <c r="E63" s="235">
        <f>_KV10</f>
        <v>0</v>
      </c>
      <c r="F63" s="233"/>
      <c r="H63" t="s">
        <v>243</v>
      </c>
    </row>
    <row r="64" spans="2:8" x14ac:dyDescent="0.25">
      <c r="C64" s="241"/>
      <c r="F64" s="233">
        <f>SUM(E55:E63)</f>
        <v>0</v>
      </c>
    </row>
    <row r="65" spans="2:6" x14ac:dyDescent="0.25">
      <c r="B65" s="124"/>
      <c r="C65" s="234"/>
      <c r="E65" s="235"/>
      <c r="F65" s="235"/>
    </row>
    <row r="66" spans="2:6" ht="7.5" customHeight="1" x14ac:dyDescent="0.25">
      <c r="C66" s="32"/>
      <c r="E66" s="233"/>
      <c r="F66" s="233"/>
    </row>
    <row r="67" spans="2:6" ht="14" x14ac:dyDescent="0.3">
      <c r="C67" s="139" t="s">
        <v>537</v>
      </c>
      <c r="E67" s="236"/>
      <c r="F67" s="236">
        <f>SUM(F42:F65)</f>
        <v>0</v>
      </c>
    </row>
    <row r="68" spans="2:6" ht="7.5" customHeight="1" thickBot="1" x14ac:dyDescent="0.3">
      <c r="B68" s="237"/>
      <c r="C68" s="238"/>
      <c r="E68" s="239"/>
      <c r="F68" s="239"/>
    </row>
    <row r="69" spans="2:6" ht="13" thickTop="1" x14ac:dyDescent="0.25"/>
    <row r="70" spans="2:6" x14ac:dyDescent="0.25">
      <c r="C70" s="222" t="s">
        <v>244</v>
      </c>
      <c r="D70" s="222"/>
      <c r="E70" s="242"/>
      <c r="F70" s="242">
        <f>F34-F67</f>
        <v>0</v>
      </c>
    </row>
    <row r="73" spans="2:6" x14ac:dyDescent="0.25">
      <c r="C73" s="32" t="s">
        <v>245</v>
      </c>
    </row>
    <row r="74" spans="2:6" x14ac:dyDescent="0.25">
      <c r="C74" s="32" t="s">
        <v>246</v>
      </c>
    </row>
  </sheetData>
  <sheetProtection password="92CE" sheet="1"/>
  <phoneticPr fontId="0" type="noConversion"/>
  <pageMargins left="1.0236220472440944" right="0.27559055118110237" top="0.26" bottom="0" header="0.67" footer="0.51181102362204722"/>
  <pageSetup paperSize="9" scale="97"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B1:H71"/>
  <sheetViews>
    <sheetView showGridLines="0" zoomScaleNormal="100" workbookViewId="0">
      <selection activeCell="C6" sqref="C6"/>
    </sheetView>
  </sheetViews>
  <sheetFormatPr baseColWidth="10" defaultColWidth="11.453125" defaultRowHeight="12.5" x14ac:dyDescent="0.25"/>
  <cols>
    <col min="1" max="1" width="6.81640625" customWidth="1"/>
    <col min="2" max="2" width="3.7265625" customWidth="1"/>
    <col min="3" max="3" width="35.7265625" customWidth="1"/>
    <col min="4" max="4" width="2.81640625" customWidth="1"/>
    <col min="5" max="6" width="12.81640625" style="66" customWidth="1"/>
    <col min="7" max="7" width="2.54296875" customWidth="1"/>
    <col min="8" max="8" width="10.90625" customWidth="1"/>
    <col min="9" max="9" width="1.81640625" customWidth="1"/>
  </cols>
  <sheetData>
    <row r="1" spans="2:8" ht="21.75" customHeight="1" x14ac:dyDescent="0.25"/>
    <row r="2" spans="2:8" ht="18" x14ac:dyDescent="0.4">
      <c r="B2" s="82" t="str">
        <f>"Gewinn- und Verlustrechnung für "&amp;_JAHR</f>
        <v>Gewinn- und Verlustrechnung für 2022</v>
      </c>
    </row>
    <row r="3" spans="2:8" ht="12" customHeight="1" x14ac:dyDescent="0.4">
      <c r="B3" s="82"/>
    </row>
    <row r="4" spans="2:8" ht="8.15" customHeight="1" x14ac:dyDescent="0.35">
      <c r="B4" s="226"/>
      <c r="C4" s="124"/>
    </row>
    <row r="5" spans="2:8" ht="6" customHeight="1" x14ac:dyDescent="0.35">
      <c r="B5" s="2"/>
      <c r="E5" s="243"/>
      <c r="F5" s="243"/>
      <c r="H5" s="63"/>
    </row>
    <row r="6" spans="2:8" ht="15.5" x14ac:dyDescent="0.35">
      <c r="C6" s="2" t="s">
        <v>247</v>
      </c>
      <c r="E6" s="228" t="s">
        <v>196</v>
      </c>
      <c r="F6" s="228" t="s">
        <v>196</v>
      </c>
      <c r="G6" s="244"/>
      <c r="H6" s="3" t="s">
        <v>197</v>
      </c>
    </row>
    <row r="7" spans="2:8" ht="6" customHeight="1" x14ac:dyDescent="0.3">
      <c r="B7" s="124"/>
      <c r="C7" s="124"/>
      <c r="D7" s="124"/>
      <c r="E7" s="229"/>
      <c r="F7" s="229"/>
      <c r="G7" s="244"/>
      <c r="H7" s="124"/>
    </row>
    <row r="9" spans="2:8" ht="13" x14ac:dyDescent="0.3">
      <c r="B9" s="6" t="s">
        <v>911</v>
      </c>
      <c r="C9" s="1" t="s">
        <v>248</v>
      </c>
    </row>
    <row r="10" spans="2:8" x14ac:dyDescent="0.25">
      <c r="B10" s="3"/>
      <c r="C10" s="32" t="s">
        <v>249</v>
      </c>
      <c r="E10" s="233" t="str">
        <f>_XX13</f>
        <v/>
      </c>
      <c r="F10" s="233"/>
      <c r="G10" s="245"/>
      <c r="H10" t="s">
        <v>250</v>
      </c>
    </row>
    <row r="11" spans="2:8" x14ac:dyDescent="0.25">
      <c r="B11" s="3"/>
      <c r="C11" s="32" t="s">
        <v>251</v>
      </c>
      <c r="E11" s="233">
        <f>_UE20</f>
        <v>0</v>
      </c>
      <c r="F11" s="233"/>
      <c r="G11" s="245"/>
      <c r="H11" t="s">
        <v>252</v>
      </c>
    </row>
    <row r="12" spans="2:8" x14ac:dyDescent="0.25">
      <c r="B12" s="3"/>
      <c r="C12" s="32" t="s">
        <v>253</v>
      </c>
      <c r="E12" s="233">
        <f>_UE30</f>
        <v>0</v>
      </c>
      <c r="G12" s="245"/>
      <c r="H12" t="s">
        <v>254</v>
      </c>
    </row>
    <row r="13" spans="2:8" x14ac:dyDescent="0.25">
      <c r="B13" s="3"/>
      <c r="C13" s="32" t="s">
        <v>255</v>
      </c>
      <c r="E13" s="235">
        <f>_UE40</f>
        <v>0</v>
      </c>
      <c r="G13" s="245"/>
      <c r="H13" t="s">
        <v>256</v>
      </c>
    </row>
    <row r="14" spans="2:8" x14ac:dyDescent="0.25">
      <c r="B14" s="3"/>
      <c r="C14" s="32"/>
      <c r="E14" s="233"/>
      <c r="F14" s="233">
        <f>SUM(E10:E13)</f>
        <v>0</v>
      </c>
      <c r="G14" s="245"/>
    </row>
    <row r="15" spans="2:8" ht="13" x14ac:dyDescent="0.3">
      <c r="B15" s="6" t="s">
        <v>933</v>
      </c>
      <c r="C15" s="32" t="s">
        <v>257</v>
      </c>
      <c r="E15" s="233"/>
      <c r="F15" s="233"/>
      <c r="G15" s="245"/>
    </row>
    <row r="16" spans="2:8" x14ac:dyDescent="0.25">
      <c r="B16" s="3"/>
      <c r="C16" s="32" t="s">
        <v>258</v>
      </c>
      <c r="E16" s="233"/>
      <c r="F16" s="233"/>
      <c r="G16" s="245"/>
    </row>
    <row r="17" spans="2:8" x14ac:dyDescent="0.25">
      <c r="B17" s="3"/>
      <c r="C17" s="32" t="s">
        <v>259</v>
      </c>
      <c r="E17" s="233"/>
      <c r="F17" s="233"/>
      <c r="G17" s="245"/>
    </row>
    <row r="18" spans="2:8" x14ac:dyDescent="0.25">
      <c r="B18" s="3"/>
      <c r="C18" s="32" t="s">
        <v>260</v>
      </c>
      <c r="E18" s="233"/>
      <c r="F18" s="233">
        <f>IF(_XX16="",0,_XX16)</f>
        <v>0</v>
      </c>
      <c r="G18" s="245"/>
      <c r="H18" t="s">
        <v>261</v>
      </c>
    </row>
    <row r="19" spans="2:8" ht="6" customHeight="1" x14ac:dyDescent="0.25">
      <c r="B19" s="3"/>
      <c r="C19" s="32"/>
      <c r="E19" s="233"/>
      <c r="F19" s="233"/>
      <c r="G19" s="245"/>
    </row>
    <row r="20" spans="2:8" ht="13" x14ac:dyDescent="0.3">
      <c r="B20" s="6" t="s">
        <v>939</v>
      </c>
      <c r="C20" s="32" t="s">
        <v>262</v>
      </c>
      <c r="E20" s="233"/>
      <c r="F20" s="233">
        <f>_AE01</f>
        <v>0</v>
      </c>
      <c r="G20" s="245"/>
      <c r="H20" t="s">
        <v>263</v>
      </c>
    </row>
    <row r="21" spans="2:8" ht="6" customHeight="1" x14ac:dyDescent="0.25">
      <c r="B21" s="3"/>
      <c r="E21" s="233"/>
      <c r="F21" s="233"/>
      <c r="G21" s="245"/>
    </row>
    <row r="22" spans="2:8" ht="13" x14ac:dyDescent="0.3">
      <c r="B22" s="6" t="s">
        <v>947</v>
      </c>
      <c r="C22" s="32" t="s">
        <v>264</v>
      </c>
      <c r="E22" s="233"/>
      <c r="F22" s="233">
        <f>IF(_XX17="",0,_XX17)</f>
        <v>0</v>
      </c>
      <c r="G22" s="245"/>
      <c r="H22" t="s">
        <v>265</v>
      </c>
    </row>
    <row r="23" spans="2:8" ht="6" customHeight="1" x14ac:dyDescent="0.25">
      <c r="B23" s="3"/>
      <c r="C23" s="32"/>
      <c r="E23" s="233"/>
      <c r="F23" s="233"/>
      <c r="G23" s="245"/>
    </row>
    <row r="24" spans="2:8" ht="13" x14ac:dyDescent="0.3">
      <c r="B24" s="6" t="s">
        <v>952</v>
      </c>
      <c r="C24" s="32" t="s">
        <v>266</v>
      </c>
      <c r="E24" s="233"/>
      <c r="F24" s="233"/>
      <c r="G24" s="245"/>
    </row>
    <row r="25" spans="2:8" x14ac:dyDescent="0.25">
      <c r="B25" s="3"/>
      <c r="C25" s="32" t="s">
        <v>267</v>
      </c>
      <c r="E25" s="233" t="str">
        <f>_XX18</f>
        <v/>
      </c>
      <c r="F25" s="233"/>
      <c r="G25" s="245"/>
      <c r="H25" t="s">
        <v>268</v>
      </c>
    </row>
    <row r="26" spans="2:8" x14ac:dyDescent="0.25">
      <c r="B26" s="3"/>
      <c r="C26" s="32" t="s">
        <v>269</v>
      </c>
      <c r="E26" s="233">
        <f>_AA01</f>
        <v>0</v>
      </c>
      <c r="F26" s="233"/>
      <c r="G26" s="245"/>
      <c r="H26" t="s">
        <v>270</v>
      </c>
    </row>
    <row r="27" spans="2:8" x14ac:dyDescent="0.25">
      <c r="B27" s="3"/>
      <c r="C27" s="32" t="s">
        <v>271</v>
      </c>
      <c r="E27" s="235">
        <f>_AA02</f>
        <v>0</v>
      </c>
      <c r="F27" s="233"/>
      <c r="G27" s="245"/>
      <c r="H27" t="s">
        <v>272</v>
      </c>
    </row>
    <row r="28" spans="2:8" x14ac:dyDescent="0.25">
      <c r="B28" s="3"/>
      <c r="C28" s="32"/>
      <c r="E28"/>
      <c r="F28" s="235">
        <f>SUM(E25:E27)</f>
        <v>0</v>
      </c>
      <c r="G28" s="245"/>
    </row>
    <row r="29" spans="2:8" ht="6" customHeight="1" x14ac:dyDescent="0.25">
      <c r="B29" s="3"/>
      <c r="C29" s="32"/>
      <c r="E29" s="233"/>
      <c r="F29" s="233"/>
      <c r="G29" s="245"/>
    </row>
    <row r="30" spans="2:8" ht="13" x14ac:dyDescent="0.3">
      <c r="B30" s="3"/>
      <c r="C30" s="1" t="s">
        <v>273</v>
      </c>
      <c r="E30" s="233"/>
      <c r="F30" s="233">
        <f>F14+F18+F20+F22-F28</f>
        <v>0</v>
      </c>
      <c r="G30" s="245"/>
    </row>
    <row r="31" spans="2:8" ht="6" customHeight="1" x14ac:dyDescent="0.25">
      <c r="B31" s="3"/>
      <c r="C31" s="32"/>
      <c r="E31" s="233"/>
      <c r="F31" s="233"/>
      <c r="G31" s="245"/>
    </row>
    <row r="32" spans="2:8" ht="13" x14ac:dyDescent="0.3">
      <c r="B32" s="6" t="s">
        <v>274</v>
      </c>
      <c r="C32" s="32" t="s">
        <v>275</v>
      </c>
      <c r="E32" s="233"/>
      <c r="F32" s="233">
        <f>_LG10</f>
        <v>0</v>
      </c>
      <c r="G32" s="245"/>
      <c r="H32" s="7" t="s">
        <v>1295</v>
      </c>
    </row>
    <row r="33" spans="2:8" ht="6" customHeight="1" x14ac:dyDescent="0.25">
      <c r="B33" s="3"/>
      <c r="E33" s="233"/>
      <c r="F33" s="233"/>
      <c r="G33" s="245"/>
    </row>
    <row r="34" spans="2:8" ht="13" x14ac:dyDescent="0.3">
      <c r="B34" s="6" t="s">
        <v>276</v>
      </c>
      <c r="C34" s="32" t="s">
        <v>277</v>
      </c>
      <c r="E34" s="233"/>
      <c r="F34" s="233"/>
      <c r="G34" s="245"/>
    </row>
    <row r="35" spans="2:8" x14ac:dyDescent="0.25">
      <c r="B35" s="3"/>
      <c r="C35" s="32" t="s">
        <v>278</v>
      </c>
      <c r="E35" s="233"/>
      <c r="F35" s="233">
        <f>_AA10</f>
        <v>0</v>
      </c>
      <c r="G35" s="245"/>
      <c r="H35" t="s">
        <v>279</v>
      </c>
    </row>
    <row r="36" spans="2:8" x14ac:dyDescent="0.25">
      <c r="B36" s="3"/>
      <c r="C36" s="32" t="s">
        <v>280</v>
      </c>
      <c r="E36" s="233"/>
      <c r="F36" s="233"/>
      <c r="G36" s="245"/>
    </row>
    <row r="37" spans="2:8" x14ac:dyDescent="0.25">
      <c r="B37" s="3"/>
      <c r="C37" s="32" t="s">
        <v>281</v>
      </c>
      <c r="E37" s="233"/>
      <c r="F37" s="233">
        <f>_AS04</f>
        <v>0</v>
      </c>
      <c r="G37" s="245"/>
      <c r="H37" s="7" t="s">
        <v>1001</v>
      </c>
    </row>
    <row r="38" spans="2:8" ht="6" customHeight="1" x14ac:dyDescent="0.25">
      <c r="B38" s="3"/>
      <c r="C38" s="32"/>
      <c r="E38" s="233"/>
      <c r="F38" s="233"/>
      <c r="G38" s="245"/>
    </row>
    <row r="39" spans="2:8" ht="13" x14ac:dyDescent="0.3">
      <c r="B39" s="6" t="s">
        <v>282</v>
      </c>
      <c r="C39" s="32" t="s">
        <v>283</v>
      </c>
      <c r="E39" s="233"/>
      <c r="F39" s="233">
        <f>IF(_XX23="",0,_XX23)</f>
        <v>0</v>
      </c>
      <c r="G39" s="245"/>
      <c r="H39" t="s">
        <v>284</v>
      </c>
    </row>
    <row r="40" spans="2:8" ht="6" customHeight="1" x14ac:dyDescent="0.3">
      <c r="B40" s="6"/>
      <c r="C40" s="32"/>
      <c r="E40" s="233"/>
      <c r="F40" s="233"/>
      <c r="G40" s="245"/>
    </row>
    <row r="41" spans="2:8" ht="13" x14ac:dyDescent="0.3">
      <c r="B41" s="6" t="s">
        <v>285</v>
      </c>
      <c r="C41" s="32" t="s">
        <v>1223</v>
      </c>
      <c r="E41" s="233"/>
      <c r="F41" s="233">
        <f>_EB01</f>
        <v>0</v>
      </c>
      <c r="G41" s="245"/>
      <c r="H41" t="s">
        <v>286</v>
      </c>
    </row>
    <row r="42" spans="2:8" ht="6" customHeight="1" x14ac:dyDescent="0.3">
      <c r="B42" s="6"/>
      <c r="C42" s="32"/>
      <c r="E42" s="233"/>
      <c r="F42" s="233"/>
      <c r="G42" s="245"/>
    </row>
    <row r="43" spans="2:8" ht="13" x14ac:dyDescent="0.3">
      <c r="B43" s="6" t="s">
        <v>287</v>
      </c>
      <c r="C43" s="32" t="s">
        <v>288</v>
      </c>
      <c r="E43" s="233"/>
      <c r="F43" s="233"/>
      <c r="G43" s="245"/>
    </row>
    <row r="44" spans="2:8" ht="13" x14ac:dyDescent="0.3">
      <c r="B44" s="6"/>
      <c r="C44" s="32" t="s">
        <v>289</v>
      </c>
      <c r="E44" s="233"/>
      <c r="F44" s="233">
        <f>_EW01</f>
        <v>0</v>
      </c>
      <c r="G44" s="245"/>
      <c r="H44" t="s">
        <v>290</v>
      </c>
    </row>
    <row r="45" spans="2:8" ht="6" customHeight="1" x14ac:dyDescent="0.3">
      <c r="B45" s="6"/>
      <c r="C45" s="32"/>
      <c r="E45" s="233"/>
      <c r="F45" s="233"/>
      <c r="G45" s="245"/>
    </row>
    <row r="46" spans="2:8" ht="13" x14ac:dyDescent="0.3">
      <c r="B46" s="6" t="s">
        <v>291</v>
      </c>
      <c r="C46" s="32" t="s">
        <v>1224</v>
      </c>
      <c r="E46" s="233"/>
      <c r="F46" s="233">
        <f>_EZ02</f>
        <v>0</v>
      </c>
      <c r="G46" s="245"/>
      <c r="H46" t="s">
        <v>292</v>
      </c>
    </row>
    <row r="47" spans="2:8" ht="6" customHeight="1" x14ac:dyDescent="0.3">
      <c r="B47" s="6"/>
      <c r="C47" s="32"/>
      <c r="E47" s="233"/>
      <c r="F47" s="233"/>
      <c r="G47" s="245"/>
    </row>
    <row r="48" spans="2:8" ht="13" x14ac:dyDescent="0.3">
      <c r="B48" s="6" t="s">
        <v>293</v>
      </c>
      <c r="C48" s="32" t="s">
        <v>294</v>
      </c>
      <c r="E48" s="233"/>
      <c r="F48" s="233">
        <f>_AF10</f>
        <v>0</v>
      </c>
      <c r="G48" s="245"/>
      <c r="H48" t="s">
        <v>295</v>
      </c>
    </row>
    <row r="49" spans="2:8" ht="6" customHeight="1" x14ac:dyDescent="0.25">
      <c r="E49"/>
      <c r="F49"/>
    </row>
    <row r="50" spans="2:8" ht="13" x14ac:dyDescent="0.3">
      <c r="B50" s="6" t="s">
        <v>296</v>
      </c>
      <c r="C50" s="32" t="s">
        <v>297</v>
      </c>
      <c r="E50" s="233"/>
      <c r="F50" s="235">
        <f>_ZA10</f>
        <v>0</v>
      </c>
      <c r="G50" s="245"/>
      <c r="H50" t="s">
        <v>298</v>
      </c>
    </row>
    <row r="51" spans="2:8" ht="6" customHeight="1" x14ac:dyDescent="0.25">
      <c r="B51" s="3"/>
      <c r="E51" s="233"/>
      <c r="F51" s="233"/>
      <c r="G51" s="245"/>
    </row>
    <row r="52" spans="2:8" ht="13" x14ac:dyDescent="0.3">
      <c r="B52" s="6" t="s">
        <v>299</v>
      </c>
      <c r="C52" s="1" t="s">
        <v>300</v>
      </c>
      <c r="E52" s="233"/>
      <c r="F52" s="233">
        <f>F30-F32-F35-F37-F39+F41+F44+F46-F48-F50</f>
        <v>0</v>
      </c>
      <c r="G52" s="245"/>
    </row>
    <row r="53" spans="2:8" ht="6" customHeight="1" x14ac:dyDescent="0.25">
      <c r="B53" s="3"/>
      <c r="E53" s="233"/>
      <c r="F53" s="233"/>
      <c r="G53" s="245"/>
    </row>
    <row r="54" spans="2:8" ht="13" x14ac:dyDescent="0.3">
      <c r="B54" s="6" t="s">
        <v>301</v>
      </c>
      <c r="C54" s="32" t="s">
        <v>37</v>
      </c>
      <c r="E54" s="233"/>
      <c r="F54" s="233">
        <f>_EA01</f>
        <v>0</v>
      </c>
      <c r="G54" s="245"/>
      <c r="H54" t="s">
        <v>302</v>
      </c>
    </row>
    <row r="55" spans="2:8" ht="6" customHeight="1" x14ac:dyDescent="0.25">
      <c r="B55" s="3"/>
      <c r="E55" s="233"/>
      <c r="F55" s="233"/>
      <c r="G55" s="245"/>
    </row>
    <row r="56" spans="2:8" ht="13" x14ac:dyDescent="0.3">
      <c r="B56" s="6" t="s">
        <v>303</v>
      </c>
      <c r="C56" s="32" t="s">
        <v>304</v>
      </c>
      <c r="E56" s="233"/>
      <c r="F56" s="233">
        <f>_AA04</f>
        <v>0</v>
      </c>
      <c r="G56" s="245"/>
      <c r="H56" t="s">
        <v>305</v>
      </c>
    </row>
    <row r="57" spans="2:8" ht="6" customHeight="1" x14ac:dyDescent="0.25">
      <c r="B57" s="3"/>
      <c r="E57" s="233"/>
      <c r="F57" s="233"/>
      <c r="G57" s="245"/>
    </row>
    <row r="58" spans="2:8" ht="13" x14ac:dyDescent="0.3">
      <c r="B58" s="6" t="s">
        <v>306</v>
      </c>
      <c r="C58" s="32" t="s">
        <v>307</v>
      </c>
      <c r="E58" s="233"/>
      <c r="F58" s="233">
        <f>_GW20-_AA03</f>
        <v>0</v>
      </c>
      <c r="G58" s="245"/>
      <c r="H58" t="s">
        <v>308</v>
      </c>
    </row>
    <row r="59" spans="2:8" ht="13" x14ac:dyDescent="0.3">
      <c r="B59" s="6"/>
      <c r="C59" s="32" t="s">
        <v>309</v>
      </c>
      <c r="E59" s="233"/>
      <c r="F59" s="233"/>
      <c r="G59" s="245"/>
      <c r="H59" t="s">
        <v>310</v>
      </c>
    </row>
    <row r="60" spans="2:8" ht="6" customHeight="1" x14ac:dyDescent="0.25">
      <c r="B60" s="3"/>
      <c r="E60" s="233"/>
      <c r="F60" s="233"/>
      <c r="G60" s="245"/>
    </row>
    <row r="61" spans="2:8" ht="13" x14ac:dyDescent="0.3">
      <c r="B61" s="6" t="s">
        <v>311</v>
      </c>
      <c r="C61" s="32" t="s">
        <v>312</v>
      </c>
      <c r="E61" s="233"/>
      <c r="F61" s="233">
        <f>_ST10</f>
        <v>0</v>
      </c>
      <c r="G61" s="245"/>
      <c r="H61" t="s">
        <v>313</v>
      </c>
    </row>
    <row r="62" spans="2:8" ht="6" customHeight="1" x14ac:dyDescent="0.3">
      <c r="B62" s="6"/>
      <c r="C62" s="32"/>
      <c r="E62" s="233"/>
      <c r="F62" s="233"/>
      <c r="G62" s="245"/>
    </row>
    <row r="63" spans="2:8" ht="13" x14ac:dyDescent="0.3">
      <c r="B63" s="6" t="s">
        <v>314</v>
      </c>
      <c r="C63" s="32" t="s">
        <v>315</v>
      </c>
      <c r="E63" s="233"/>
      <c r="F63" s="235">
        <f>IF(_XX28="",0,_XX28)</f>
        <v>0</v>
      </c>
      <c r="G63" s="245"/>
      <c r="H63" t="s">
        <v>316</v>
      </c>
    </row>
    <row r="64" spans="2:8" ht="6" customHeight="1" x14ac:dyDescent="0.3">
      <c r="B64" s="6"/>
      <c r="E64" s="233"/>
      <c r="F64" s="246"/>
      <c r="G64" s="245"/>
    </row>
    <row r="65" spans="2:8" ht="13" x14ac:dyDescent="0.3">
      <c r="B65" s="6" t="s">
        <v>317</v>
      </c>
      <c r="C65" s="1" t="s">
        <v>318</v>
      </c>
      <c r="E65" s="233"/>
      <c r="F65" s="233">
        <f>F52+F54-F56+F58-F61-F63</f>
        <v>0</v>
      </c>
      <c r="G65" s="245"/>
    </row>
    <row r="66" spans="2:8" ht="6" customHeight="1" x14ac:dyDescent="0.25">
      <c r="B66" s="3"/>
      <c r="E66" s="233"/>
      <c r="F66" s="235"/>
      <c r="G66" s="245"/>
    </row>
    <row r="68" spans="2:8" x14ac:dyDescent="0.25">
      <c r="F68" s="247">
        <f>_GW10</f>
        <v>0</v>
      </c>
      <c r="H68" t="s">
        <v>319</v>
      </c>
    </row>
    <row r="70" spans="2:8" x14ac:dyDescent="0.25">
      <c r="B70" s="222" t="s">
        <v>320</v>
      </c>
      <c r="C70" s="222"/>
      <c r="D70" s="242"/>
      <c r="F70" s="242">
        <f>F65-F68</f>
        <v>0</v>
      </c>
    </row>
    <row r="71" spans="2:8" x14ac:dyDescent="0.25">
      <c r="C71" s="222" t="s">
        <v>321</v>
      </c>
    </row>
  </sheetData>
  <sheetProtection password="92CE" sheet="1"/>
  <phoneticPr fontId="8" type="noConversion"/>
  <pageMargins left="1.0236220472440944" right="0.27559055118110237" top="0.26" bottom="0" header="0.67"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O53"/>
  <sheetViews>
    <sheetView showGridLines="0" showRowColHeaders="0" topLeftCell="A19" workbookViewId="0">
      <selection activeCell="B2" sqref="B2"/>
    </sheetView>
  </sheetViews>
  <sheetFormatPr baseColWidth="10" defaultColWidth="11.453125" defaultRowHeight="12.5" x14ac:dyDescent="0.25"/>
  <cols>
    <col min="1" max="1" width="4" customWidth="1"/>
    <col min="2" max="2" width="3.7265625" customWidth="1"/>
    <col min="3" max="3" width="35.7265625" customWidth="1"/>
    <col min="4" max="4" width="2.81640625" customWidth="1"/>
    <col min="5" max="6" width="12.81640625" style="66" customWidth="1"/>
    <col min="7" max="7" width="1" style="66" customWidth="1"/>
    <col min="8" max="8" width="13" customWidth="1"/>
    <col min="9" max="9" width="1.1796875" customWidth="1"/>
    <col min="10" max="10" width="10.90625" customWidth="1"/>
    <col min="11" max="12" width="1.453125" customWidth="1"/>
  </cols>
  <sheetData>
    <row r="1" spans="1:14" ht="21" customHeight="1" x14ac:dyDescent="0.25">
      <c r="A1" s="14"/>
    </row>
    <row r="2" spans="1:14" ht="18" x14ac:dyDescent="0.4">
      <c r="B2" s="82" t="str">
        <f>"EBITDA für "&amp;_JAHR</f>
        <v>EBITDA für 2022</v>
      </c>
      <c r="D2" s="14"/>
    </row>
    <row r="3" spans="1:14" ht="12" customHeight="1" x14ac:dyDescent="0.4">
      <c r="B3" s="82"/>
      <c r="C3" s="14"/>
    </row>
    <row r="4" spans="1:14" ht="8.15" customHeight="1" x14ac:dyDescent="0.35">
      <c r="B4" s="226"/>
      <c r="C4" s="124"/>
    </row>
    <row r="5" spans="1:14" ht="6" customHeight="1" x14ac:dyDescent="0.35">
      <c r="B5" s="2"/>
      <c r="E5" s="243"/>
      <c r="F5" s="243"/>
      <c r="H5" s="63"/>
      <c r="J5" s="63"/>
    </row>
    <row r="6" spans="1:14" ht="15.5" x14ac:dyDescent="0.35">
      <c r="C6" s="2" t="s">
        <v>247</v>
      </c>
      <c r="E6" s="228" t="s">
        <v>196</v>
      </c>
      <c r="F6" s="228" t="s">
        <v>196</v>
      </c>
      <c r="G6" s="228"/>
      <c r="H6" s="244" t="s">
        <v>976</v>
      </c>
      <c r="I6" s="244"/>
      <c r="J6" s="5" t="s">
        <v>197</v>
      </c>
    </row>
    <row r="7" spans="1:14" ht="6" customHeight="1" x14ac:dyDescent="0.3">
      <c r="B7" s="124"/>
      <c r="C7" s="124"/>
      <c r="D7" s="124"/>
      <c r="E7" s="229"/>
      <c r="F7" s="229"/>
      <c r="G7" s="228"/>
      <c r="H7" s="257"/>
      <c r="I7" s="244"/>
      <c r="J7" s="124"/>
    </row>
    <row r="8" spans="1:14" x14ac:dyDescent="0.25">
      <c r="H8" s="258"/>
    </row>
    <row r="9" spans="1:14" ht="13" x14ac:dyDescent="0.3">
      <c r="C9" s="1" t="s">
        <v>318</v>
      </c>
      <c r="E9" s="233"/>
      <c r="F9" s="233">
        <f>_GW10</f>
        <v>0</v>
      </c>
      <c r="G9" s="233"/>
      <c r="J9" t="s">
        <v>319</v>
      </c>
      <c r="N9" s="7"/>
    </row>
    <row r="10" spans="1:14" x14ac:dyDescent="0.25">
      <c r="C10" t="s">
        <v>977</v>
      </c>
      <c r="E10" s="233"/>
      <c r="F10" s="233">
        <f>-_GW20</f>
        <v>0</v>
      </c>
      <c r="G10" s="233"/>
      <c r="J10" t="s">
        <v>978</v>
      </c>
    </row>
    <row r="11" spans="1:14" x14ac:dyDescent="0.25">
      <c r="C11" t="s">
        <v>979</v>
      </c>
      <c r="E11" s="233"/>
      <c r="F11" s="233"/>
      <c r="G11" s="233"/>
    </row>
    <row r="12" spans="1:14" x14ac:dyDescent="0.25">
      <c r="E12" s="233"/>
      <c r="F12" s="233"/>
      <c r="G12" s="233"/>
    </row>
    <row r="13" spans="1:14" x14ac:dyDescent="0.25">
      <c r="C13" t="s">
        <v>980</v>
      </c>
      <c r="E13" s="233">
        <f>IF(_XX28="",0,_XX28)</f>
        <v>0</v>
      </c>
      <c r="F13" s="233"/>
      <c r="G13" s="233"/>
      <c r="J13" t="s">
        <v>981</v>
      </c>
    </row>
    <row r="14" spans="1:14" x14ac:dyDescent="0.25">
      <c r="C14" t="s">
        <v>982</v>
      </c>
      <c r="E14" s="233">
        <f>-_GR10</f>
        <v>0</v>
      </c>
      <c r="F14" s="233"/>
      <c r="G14" s="233"/>
      <c r="J14" t="s">
        <v>983</v>
      </c>
    </row>
    <row r="15" spans="1:14" x14ac:dyDescent="0.25">
      <c r="C15" t="s">
        <v>984</v>
      </c>
      <c r="E15" s="233">
        <f>-_XX50</f>
        <v>0</v>
      </c>
      <c r="F15" s="233"/>
      <c r="G15" s="233"/>
      <c r="J15" t="s">
        <v>985</v>
      </c>
    </row>
    <row r="16" spans="1:14" x14ac:dyDescent="0.25">
      <c r="C16" t="s">
        <v>986</v>
      </c>
      <c r="E16" s="233"/>
      <c r="F16" s="233">
        <f>SUM(E13:E15)</f>
        <v>0</v>
      </c>
      <c r="G16" s="233"/>
    </row>
    <row r="17" spans="3:15" ht="13" x14ac:dyDescent="0.3">
      <c r="C17" t="s">
        <v>987</v>
      </c>
      <c r="E17" s="233"/>
      <c r="F17" s="233">
        <f>_ST10</f>
        <v>0</v>
      </c>
      <c r="G17" s="233"/>
      <c r="J17" t="s">
        <v>313</v>
      </c>
      <c r="L17" s="1"/>
    </row>
    <row r="18" spans="3:15" ht="13" x14ac:dyDescent="0.3">
      <c r="C18" t="s">
        <v>988</v>
      </c>
      <c r="E18" s="233"/>
      <c r="F18" s="233">
        <f>_AA03</f>
        <v>0</v>
      </c>
      <c r="G18" s="233"/>
      <c r="J18" t="s">
        <v>989</v>
      </c>
      <c r="L18" s="1"/>
    </row>
    <row r="19" spans="3:15" x14ac:dyDescent="0.25">
      <c r="C19" t="s">
        <v>990</v>
      </c>
      <c r="E19" s="233"/>
      <c r="F19" s="233">
        <f>_AA04</f>
        <v>0</v>
      </c>
      <c r="G19" s="233"/>
      <c r="J19" t="s">
        <v>305</v>
      </c>
    </row>
    <row r="20" spans="3:15" x14ac:dyDescent="0.25">
      <c r="C20" t="s">
        <v>991</v>
      </c>
      <c r="E20" s="233"/>
      <c r="F20" s="233">
        <f>-_EA01</f>
        <v>0</v>
      </c>
      <c r="G20" s="233"/>
      <c r="J20" t="s">
        <v>302</v>
      </c>
    </row>
    <row r="21" spans="3:15" x14ac:dyDescent="0.25">
      <c r="E21" s="233"/>
      <c r="F21" s="233"/>
      <c r="G21" s="233"/>
    </row>
    <row r="22" spans="3:15" x14ac:dyDescent="0.25">
      <c r="C22" t="s">
        <v>992</v>
      </c>
      <c r="E22" s="233"/>
      <c r="F22" s="233">
        <f>_ZA10</f>
        <v>0</v>
      </c>
      <c r="G22" s="233"/>
      <c r="J22" t="s">
        <v>298</v>
      </c>
    </row>
    <row r="23" spans="3:15" x14ac:dyDescent="0.25">
      <c r="C23" t="s">
        <v>993</v>
      </c>
      <c r="E23" s="233"/>
      <c r="F23" s="233">
        <f>-_EZ02</f>
        <v>0</v>
      </c>
      <c r="G23" s="233"/>
      <c r="J23" t="s">
        <v>292</v>
      </c>
    </row>
    <row r="24" spans="3:15" x14ac:dyDescent="0.25">
      <c r="C24" t="s">
        <v>994</v>
      </c>
      <c r="E24" s="233"/>
      <c r="F24" s="233">
        <f>-_SE02</f>
        <v>0</v>
      </c>
      <c r="G24" s="233"/>
      <c r="J24" t="s">
        <v>995</v>
      </c>
    </row>
    <row r="25" spans="3:15" ht="13" x14ac:dyDescent="0.3">
      <c r="C25" t="s">
        <v>996</v>
      </c>
      <c r="E25" s="233"/>
      <c r="F25" s="233">
        <f>-_EW01</f>
        <v>0</v>
      </c>
      <c r="G25" s="233"/>
      <c r="J25" t="s">
        <v>290</v>
      </c>
      <c r="L25" s="39"/>
    </row>
    <row r="26" spans="3:15" x14ac:dyDescent="0.25">
      <c r="C26" t="s">
        <v>997</v>
      </c>
      <c r="E26" s="233">
        <f>_AA10</f>
        <v>0</v>
      </c>
      <c r="J26" t="s">
        <v>279</v>
      </c>
    </row>
    <row r="27" spans="3:15" ht="13" x14ac:dyDescent="0.3">
      <c r="C27" t="s">
        <v>998</v>
      </c>
      <c r="E27" s="233">
        <f>_AS05</f>
        <v>0</v>
      </c>
      <c r="F27"/>
      <c r="G27"/>
      <c r="J27" t="s">
        <v>999</v>
      </c>
      <c r="L27" s="1"/>
      <c r="M27" s="1"/>
      <c r="O27" s="147"/>
    </row>
    <row r="28" spans="3:15" ht="13" x14ac:dyDescent="0.3">
      <c r="E28" s="233"/>
      <c r="F28" s="233">
        <f>E26-E27</f>
        <v>0</v>
      </c>
      <c r="G28" s="233"/>
      <c r="L28" s="1"/>
      <c r="M28" s="1"/>
      <c r="O28" s="147"/>
    </row>
    <row r="29" spans="3:15" x14ac:dyDescent="0.25">
      <c r="C29" t="s">
        <v>1000</v>
      </c>
      <c r="E29" s="233"/>
      <c r="F29" s="233">
        <f>_AS04</f>
        <v>0</v>
      </c>
      <c r="G29" s="233"/>
      <c r="J29" t="s">
        <v>1001</v>
      </c>
    </row>
    <row r="30" spans="3:15" ht="13" x14ac:dyDescent="0.3">
      <c r="C30" t="s">
        <v>1002</v>
      </c>
      <c r="E30" s="233"/>
      <c r="F30" s="233">
        <f>_AF10</f>
        <v>0</v>
      </c>
      <c r="G30" s="233"/>
      <c r="J30" t="s">
        <v>295</v>
      </c>
      <c r="L30" s="1"/>
    </row>
    <row r="31" spans="3:15" x14ac:dyDescent="0.25">
      <c r="C31" t="s">
        <v>943</v>
      </c>
      <c r="E31" s="233"/>
      <c r="F31" s="246">
        <f>SUM(F9:F30)</f>
        <v>0</v>
      </c>
      <c r="G31" s="233"/>
      <c r="H31" s="259">
        <f>F31/1000</f>
        <v>0</v>
      </c>
      <c r="I31" s="260"/>
    </row>
    <row r="32" spans="3:15" ht="13" x14ac:dyDescent="0.3">
      <c r="C32" s="49" t="s">
        <v>1003</v>
      </c>
      <c r="E32" s="233"/>
      <c r="F32" s="233"/>
      <c r="G32" s="233"/>
      <c r="H32" s="261">
        <f>_K06A</f>
        <v>0</v>
      </c>
      <c r="I32" s="260"/>
      <c r="J32" s="262" t="s">
        <v>1004</v>
      </c>
    </row>
    <row r="33" spans="3:12" ht="13" x14ac:dyDescent="0.3">
      <c r="C33" s="49" t="s">
        <v>1005</v>
      </c>
      <c r="E33" s="233"/>
      <c r="F33" s="233"/>
      <c r="G33" s="233"/>
      <c r="H33" s="263">
        <f>H31-H32</f>
        <v>0</v>
      </c>
      <c r="I33" s="260"/>
    </row>
    <row r="34" spans="3:12" x14ac:dyDescent="0.25">
      <c r="C34" t="s">
        <v>1006</v>
      </c>
      <c r="E34" s="233"/>
      <c r="F34" s="233">
        <f>_IK01</f>
        <v>0</v>
      </c>
      <c r="G34" s="233"/>
      <c r="J34" t="s">
        <v>1007</v>
      </c>
    </row>
    <row r="35" spans="3:12" x14ac:dyDescent="0.25">
      <c r="C35" t="s">
        <v>1008</v>
      </c>
      <c r="E35" s="233"/>
      <c r="F35" s="233">
        <f>_XX45</f>
        <v>0</v>
      </c>
      <c r="G35" s="233"/>
      <c r="J35" t="s">
        <v>1009</v>
      </c>
      <c r="L35" s="41"/>
    </row>
    <row r="36" spans="3:12" x14ac:dyDescent="0.25">
      <c r="C36" t="s">
        <v>1010</v>
      </c>
      <c r="E36" s="233"/>
      <c r="F36" s="233">
        <f>-_SE03</f>
        <v>0</v>
      </c>
      <c r="G36" s="233"/>
      <c r="J36" t="s">
        <v>1011</v>
      </c>
      <c r="L36" s="7" t="s">
        <v>133</v>
      </c>
    </row>
    <row r="37" spans="3:12" x14ac:dyDescent="0.25">
      <c r="E37" s="233"/>
      <c r="F37" s="264"/>
      <c r="G37" s="264"/>
      <c r="L37" s="7"/>
    </row>
    <row r="38" spans="3:12" x14ac:dyDescent="0.25">
      <c r="C38" s="265"/>
      <c r="E38" s="233"/>
      <c r="F38" s="233"/>
      <c r="G38" s="233"/>
      <c r="L38" s="7"/>
    </row>
    <row r="39" spans="3:12" x14ac:dyDescent="0.25">
      <c r="E39" s="233"/>
      <c r="F39" s="266">
        <f>SUM(F31:F37)</f>
        <v>0</v>
      </c>
      <c r="G39" s="259"/>
      <c r="H39" s="259">
        <f>F39/1000</f>
        <v>0</v>
      </c>
      <c r="I39" s="260"/>
    </row>
    <row r="40" spans="3:12" x14ac:dyDescent="0.25">
      <c r="E40" s="233"/>
      <c r="F40" s="259"/>
      <c r="G40" s="259"/>
      <c r="H40" s="261">
        <f>_K06C</f>
        <v>0</v>
      </c>
      <c r="I40" s="260"/>
      <c r="J40" s="262" t="s">
        <v>1012</v>
      </c>
    </row>
    <row r="41" spans="3:12" x14ac:dyDescent="0.25">
      <c r="H41" s="263">
        <f>H39-H40</f>
        <v>0</v>
      </c>
    </row>
    <row r="43" spans="3:12" x14ac:dyDescent="0.25">
      <c r="F43" s="267" t="s">
        <v>544</v>
      </c>
      <c r="G43" s="267"/>
    </row>
    <row r="44" spans="3:12" x14ac:dyDescent="0.25">
      <c r="C44" t="s">
        <v>1140</v>
      </c>
      <c r="F44" s="268">
        <f>_EN10</f>
        <v>0</v>
      </c>
      <c r="J44" t="s">
        <v>1013</v>
      </c>
    </row>
    <row r="45" spans="3:12" x14ac:dyDescent="0.25">
      <c r="C45" t="s">
        <v>87</v>
      </c>
      <c r="F45" s="269">
        <f>_EN12</f>
        <v>0</v>
      </c>
      <c r="J45" t="s">
        <v>1014</v>
      </c>
    </row>
    <row r="46" spans="3:12" x14ac:dyDescent="0.25">
      <c r="F46" s="270">
        <f>SUM(F44:F45)</f>
        <v>0</v>
      </c>
    </row>
    <row r="47" spans="3:12" x14ac:dyDescent="0.25">
      <c r="C47" t="s">
        <v>1015</v>
      </c>
      <c r="F47" s="154"/>
      <c r="H47" s="271" t="e">
        <f>F39/F46</f>
        <v>#DIV/0!</v>
      </c>
    </row>
    <row r="48" spans="3:12" x14ac:dyDescent="0.25">
      <c r="H48" s="272" t="e">
        <f>_K06E</f>
        <v>#DIV/0!</v>
      </c>
      <c r="I48" s="260"/>
      <c r="J48" s="262" t="s">
        <v>1016</v>
      </c>
    </row>
    <row r="49" spans="3:10" x14ac:dyDescent="0.25">
      <c r="H49" s="263" t="e">
        <f>H47-H48</f>
        <v>#DIV/0!</v>
      </c>
    </row>
    <row r="51" spans="3:10" x14ac:dyDescent="0.25">
      <c r="C51" t="s">
        <v>1017</v>
      </c>
      <c r="H51" s="271" t="e">
        <f>F31/F46</f>
        <v>#DIV/0!</v>
      </c>
    </row>
    <row r="52" spans="3:10" x14ac:dyDescent="0.25">
      <c r="H52" s="272">
        <f>_K06D</f>
        <v>0</v>
      </c>
      <c r="I52" s="260"/>
      <c r="J52" s="262" t="s">
        <v>527</v>
      </c>
    </row>
    <row r="53" spans="3:10" x14ac:dyDescent="0.25">
      <c r="H53" s="263" t="e">
        <f>H51-H52</f>
        <v>#DIV/0!</v>
      </c>
    </row>
  </sheetData>
  <sheetProtection password="92CE" sheet="1"/>
  <phoneticPr fontId="8" type="noConversion"/>
  <pageMargins left="0.75" right="0.27559055118110237" top="0.42" bottom="0" header="0.67" footer="0.51181102362204722"/>
  <pageSetup paperSize="9" scale="91"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pageSetUpPr fitToPage="1"/>
  </sheetPr>
  <dimension ref="B1:J79"/>
  <sheetViews>
    <sheetView showGridLines="0" workbookViewId="0">
      <selection activeCell="B78" sqref="B78"/>
    </sheetView>
  </sheetViews>
  <sheetFormatPr baseColWidth="10" defaultRowHeight="12.5" x14ac:dyDescent="0.25"/>
  <cols>
    <col min="1" max="1" width="3" customWidth="1"/>
    <col min="2" max="2" width="61.54296875" customWidth="1"/>
    <col min="3" max="3" width="2.26953125" customWidth="1"/>
    <col min="4" max="4" width="14.26953125" customWidth="1"/>
    <col min="5" max="5" width="0.7265625" customWidth="1"/>
    <col min="6" max="6" width="8" customWidth="1"/>
    <col min="7" max="7" width="0.453125" customWidth="1"/>
    <col min="8" max="8" width="6.453125" customWidth="1"/>
    <col min="9" max="9" width="3.54296875" customWidth="1"/>
    <col min="10" max="10" width="23.81640625" customWidth="1"/>
  </cols>
  <sheetData>
    <row r="1" spans="2:10" ht="6.75" customHeight="1" x14ac:dyDescent="0.25"/>
    <row r="2" spans="2:10" ht="14" x14ac:dyDescent="0.3">
      <c r="B2" s="139" t="s">
        <v>1264</v>
      </c>
    </row>
    <row r="3" spans="2:10" ht="10" customHeight="1" x14ac:dyDescent="0.25"/>
    <row r="5" spans="2:10" ht="10" customHeight="1" x14ac:dyDescent="0.25"/>
    <row r="6" spans="2:10" ht="13" x14ac:dyDescent="0.3">
      <c r="C6" s="1"/>
    </row>
    <row r="7" spans="2:10" ht="12.75" customHeight="1" x14ac:dyDescent="0.3">
      <c r="H7" s="1"/>
    </row>
    <row r="8" spans="2:10" ht="13" x14ac:dyDescent="0.3">
      <c r="B8" s="9" t="s">
        <v>1265</v>
      </c>
      <c r="H8" s="1"/>
    </row>
    <row r="9" spans="2:10" ht="8.25" customHeight="1" x14ac:dyDescent="0.25"/>
    <row r="10" spans="2:10" ht="13" x14ac:dyDescent="0.3">
      <c r="B10" s="7" t="s">
        <v>1269</v>
      </c>
      <c r="C10" s="1"/>
      <c r="D10" s="138" t="s">
        <v>766</v>
      </c>
    </row>
    <row r="11" spans="2:10" ht="15" customHeight="1" x14ac:dyDescent="0.3">
      <c r="B11" s="131" t="s">
        <v>1267</v>
      </c>
      <c r="C11" s="1"/>
      <c r="D11" s="61"/>
      <c r="E11" s="202"/>
      <c r="G11" s="26"/>
      <c r="H11" s="10" t="s">
        <v>365</v>
      </c>
      <c r="J11" s="340"/>
    </row>
    <row r="12" spans="2:10" ht="15" customHeight="1" x14ac:dyDescent="0.3">
      <c r="B12" s="131" t="s">
        <v>1268</v>
      </c>
      <c r="C12" s="1"/>
      <c r="D12" s="61"/>
      <c r="E12" s="202"/>
      <c r="G12" s="26"/>
      <c r="H12" s="10" t="s">
        <v>366</v>
      </c>
      <c r="J12" s="340"/>
    </row>
    <row r="13" spans="2:10" ht="15" customHeight="1" x14ac:dyDescent="0.3">
      <c r="B13" s="131" t="s">
        <v>1270</v>
      </c>
      <c r="C13" s="1"/>
      <c r="D13" s="61"/>
      <c r="E13" s="202"/>
      <c r="G13" s="26"/>
      <c r="H13" s="10" t="s">
        <v>367</v>
      </c>
      <c r="J13" s="340"/>
    </row>
    <row r="14" spans="2:10" ht="15" customHeight="1" x14ac:dyDescent="0.3">
      <c r="B14" s="131" t="s">
        <v>1271</v>
      </c>
      <c r="C14" s="1"/>
      <c r="D14" s="62"/>
      <c r="E14" s="202"/>
      <c r="G14" s="26"/>
      <c r="H14" s="10" t="s">
        <v>1115</v>
      </c>
      <c r="J14" s="340"/>
    </row>
    <row r="15" spans="2:10" ht="8.25" customHeight="1" x14ac:dyDescent="0.25">
      <c r="J15" s="7"/>
    </row>
    <row r="16" spans="2:10" ht="13" x14ac:dyDescent="0.3">
      <c r="B16" s="7" t="s">
        <v>1251</v>
      </c>
      <c r="C16" s="1"/>
      <c r="D16" s="138" t="s">
        <v>766</v>
      </c>
      <c r="J16" s="7"/>
    </row>
    <row r="17" spans="2:10" ht="15" customHeight="1" x14ac:dyDescent="0.3">
      <c r="B17" s="131" t="s">
        <v>1272</v>
      </c>
      <c r="C17" s="1"/>
      <c r="D17" s="61"/>
      <c r="E17" s="202"/>
      <c r="G17" s="26"/>
      <c r="H17" s="10" t="s">
        <v>371</v>
      </c>
      <c r="J17" s="340"/>
    </row>
    <row r="18" spans="2:10" ht="15" customHeight="1" x14ac:dyDescent="0.3">
      <c r="B18" s="131" t="s">
        <v>1268</v>
      </c>
      <c r="C18" s="1"/>
      <c r="D18" s="61"/>
      <c r="E18" s="202"/>
      <c r="G18" s="26"/>
      <c r="H18" s="10" t="s">
        <v>372</v>
      </c>
      <c r="J18" s="340"/>
    </row>
    <row r="19" spans="2:10" ht="15" customHeight="1" x14ac:dyDescent="0.3">
      <c r="B19" s="131" t="s">
        <v>1270</v>
      </c>
      <c r="C19" s="1"/>
      <c r="D19" s="61"/>
      <c r="E19" s="202"/>
      <c r="G19" s="26"/>
      <c r="H19" s="10" t="s">
        <v>373</v>
      </c>
      <c r="J19" s="340"/>
    </row>
    <row r="20" spans="2:10" ht="15" customHeight="1" x14ac:dyDescent="0.3">
      <c r="B20" s="131" t="s">
        <v>1273</v>
      </c>
      <c r="C20" s="1"/>
      <c r="D20" s="61"/>
      <c r="E20" s="202"/>
      <c r="G20" s="26"/>
      <c r="H20" s="10" t="s">
        <v>1116</v>
      </c>
      <c r="J20" s="340"/>
    </row>
    <row r="21" spans="2:10" ht="8.25" customHeight="1" x14ac:dyDescent="0.25">
      <c r="J21" s="7"/>
    </row>
    <row r="22" spans="2:10" ht="13" x14ac:dyDescent="0.3">
      <c r="B22" s="7" t="s">
        <v>469</v>
      </c>
      <c r="C22" s="1"/>
      <c r="D22" s="138" t="s">
        <v>766</v>
      </c>
      <c r="J22" s="7"/>
    </row>
    <row r="23" spans="2:10" ht="15" customHeight="1" x14ac:dyDescent="0.3">
      <c r="B23" s="131" t="s">
        <v>1267</v>
      </c>
      <c r="C23" s="1"/>
      <c r="D23" s="61"/>
      <c r="E23" s="202"/>
      <c r="G23" s="26"/>
      <c r="H23" s="10" t="s">
        <v>368</v>
      </c>
      <c r="J23" s="340"/>
    </row>
    <row r="24" spans="2:10" ht="15" customHeight="1" x14ac:dyDescent="0.3">
      <c r="B24" s="131" t="s">
        <v>1268</v>
      </c>
      <c r="C24" s="1"/>
      <c r="D24" s="61"/>
      <c r="E24" s="202"/>
      <c r="G24" s="26"/>
      <c r="H24" s="10" t="s">
        <v>369</v>
      </c>
      <c r="J24" s="340"/>
    </row>
    <row r="25" spans="2:10" ht="15" customHeight="1" x14ac:dyDescent="0.3">
      <c r="B25" s="131" t="s">
        <v>1270</v>
      </c>
      <c r="C25" s="1"/>
      <c r="D25" s="61"/>
      <c r="E25" s="202"/>
      <c r="G25" s="26"/>
      <c r="H25" s="10" t="s">
        <v>370</v>
      </c>
      <c r="J25" s="340"/>
    </row>
    <row r="26" spans="2:10" ht="13" x14ac:dyDescent="0.3">
      <c r="C26" s="1"/>
      <c r="D26" s="26"/>
      <c r="E26" s="26"/>
      <c r="G26" s="26"/>
      <c r="J26" s="7"/>
    </row>
    <row r="27" spans="2:10" ht="25.5" x14ac:dyDescent="0.3">
      <c r="B27" s="197" t="s">
        <v>1183</v>
      </c>
      <c r="C27" s="1"/>
      <c r="D27" s="26"/>
      <c r="E27" s="26"/>
      <c r="G27" s="26"/>
      <c r="J27" s="7"/>
    </row>
    <row r="28" spans="2:10" ht="8.25" customHeight="1" x14ac:dyDescent="0.3">
      <c r="B28" s="32" t="s">
        <v>74</v>
      </c>
      <c r="C28" s="1"/>
      <c r="D28" s="26"/>
      <c r="E28" s="26"/>
      <c r="G28" s="26"/>
      <c r="J28" s="7"/>
    </row>
    <row r="29" spans="2:10" ht="13" x14ac:dyDescent="0.3">
      <c r="B29" s="131" t="s">
        <v>75</v>
      </c>
      <c r="C29" s="1"/>
      <c r="D29" s="138" t="s">
        <v>1182</v>
      </c>
      <c r="F29" s="138" t="s">
        <v>73</v>
      </c>
      <c r="J29" s="7"/>
    </row>
    <row r="30" spans="2:10" ht="15" customHeight="1" x14ac:dyDescent="0.3">
      <c r="B30" s="132" t="s">
        <v>193</v>
      </c>
      <c r="C30" s="1"/>
      <c r="D30" s="62"/>
      <c r="E30" s="203"/>
      <c r="F30" s="213" t="str">
        <f>IF(D30&gt;0,D30*100/(_EE01),"")</f>
        <v/>
      </c>
      <c r="G30" s="204"/>
      <c r="H30" s="10" t="s">
        <v>806</v>
      </c>
      <c r="I30" s="127"/>
      <c r="J30" s="340"/>
    </row>
    <row r="31" spans="2:10" ht="13" x14ac:dyDescent="0.3">
      <c r="B31" s="133" t="s">
        <v>76</v>
      </c>
      <c r="C31" s="1"/>
      <c r="D31" s="33"/>
      <c r="E31" s="33"/>
      <c r="F31" s="33"/>
      <c r="G31" s="33"/>
      <c r="J31" s="7"/>
    </row>
    <row r="32" spans="2:10" ht="11.25" customHeight="1" x14ac:dyDescent="0.3">
      <c r="B32" s="9"/>
      <c r="C32" s="1"/>
      <c r="D32" s="33"/>
      <c r="E32" s="33"/>
      <c r="G32" s="33"/>
      <c r="H32" s="33"/>
      <c r="J32" s="7"/>
    </row>
    <row r="33" spans="2:10" ht="13" x14ac:dyDescent="0.3">
      <c r="B33" s="132" t="s">
        <v>77</v>
      </c>
      <c r="C33" s="1"/>
      <c r="D33" s="138" t="s">
        <v>1182</v>
      </c>
      <c r="F33" s="138" t="s">
        <v>73</v>
      </c>
      <c r="J33" s="7"/>
    </row>
    <row r="34" spans="2:10" ht="15" customHeight="1" x14ac:dyDescent="0.3">
      <c r="B34" s="132" t="s">
        <v>861</v>
      </c>
      <c r="C34" s="1"/>
      <c r="D34" s="62"/>
      <c r="E34" s="203"/>
      <c r="F34" s="213" t="str">
        <f>IF(D34&gt;0,D34*100/(_EE01),"")</f>
        <v/>
      </c>
      <c r="G34" s="204"/>
      <c r="H34" s="52" t="s">
        <v>356</v>
      </c>
      <c r="I34" s="127"/>
      <c r="J34" s="340"/>
    </row>
    <row r="35" spans="2:10" ht="8.25" customHeight="1" x14ac:dyDescent="0.3">
      <c r="C35" s="1"/>
      <c r="J35" s="7"/>
    </row>
    <row r="36" spans="2:10" ht="13" x14ac:dyDescent="0.3">
      <c r="B36" s="131" t="s">
        <v>78</v>
      </c>
      <c r="C36" s="1"/>
      <c r="D36" s="138" t="s">
        <v>1182</v>
      </c>
      <c r="F36" s="138" t="s">
        <v>73</v>
      </c>
      <c r="J36" s="7" t="str">
        <f>IF(AND(D37-D40-D41-D42-D43-D44&gt;0),"Bitte machen Sie Angaben zu LW05 - LW09","")</f>
        <v/>
      </c>
    </row>
    <row r="37" spans="2:10" ht="15" customHeight="1" x14ac:dyDescent="0.3">
      <c r="B37" s="131" t="s">
        <v>1181</v>
      </c>
      <c r="C37" s="1"/>
      <c r="D37" s="62"/>
      <c r="E37" s="203"/>
      <c r="F37" s="213" t="str">
        <f>IF(D37&gt;0,D37*100/(_EE01),"")</f>
        <v/>
      </c>
      <c r="G37" s="204"/>
      <c r="H37" s="10" t="s">
        <v>807</v>
      </c>
      <c r="I37" s="195"/>
      <c r="J37" s="7" t="str">
        <f>IF(D37-SUM(D40:D44)=0,"","Fehlerhinweis Summe aus LW05 bis LW09 entspricht nicht LW10")</f>
        <v/>
      </c>
    </row>
    <row r="38" spans="2:10" ht="8.25" customHeight="1" x14ac:dyDescent="0.3">
      <c r="C38" s="1"/>
      <c r="J38" s="7"/>
    </row>
    <row r="39" spans="2:10" ht="13" x14ac:dyDescent="0.3">
      <c r="B39" s="134" t="s">
        <v>79</v>
      </c>
      <c r="C39" s="1"/>
      <c r="D39" s="138" t="s">
        <v>1182</v>
      </c>
      <c r="E39" s="7"/>
      <c r="F39" s="138" t="s">
        <v>73</v>
      </c>
      <c r="G39" s="7"/>
      <c r="J39" s="7"/>
    </row>
    <row r="40" spans="2:10" ht="15" customHeight="1" x14ac:dyDescent="0.3">
      <c r="B40" s="135" t="s">
        <v>80</v>
      </c>
      <c r="C40" s="1"/>
      <c r="D40" s="62"/>
      <c r="E40" s="203"/>
      <c r="F40" s="213" t="str">
        <f>IF(D40&gt;0,D40*100/(_EE01),"")</f>
        <v/>
      </c>
      <c r="G40" s="203"/>
      <c r="H40" s="10" t="s">
        <v>808</v>
      </c>
      <c r="I40" s="127"/>
      <c r="J40" s="340"/>
    </row>
    <row r="41" spans="2:10" ht="15" customHeight="1" x14ac:dyDescent="0.3">
      <c r="B41" s="135" t="s">
        <v>81</v>
      </c>
      <c r="C41" s="1"/>
      <c r="D41" s="62"/>
      <c r="E41" s="203"/>
      <c r="F41" s="213" t="str">
        <f>IF(D41&gt;0,D41*100/(_EE01),"")</f>
        <v/>
      </c>
      <c r="G41" s="203"/>
      <c r="H41" s="10" t="s">
        <v>336</v>
      </c>
      <c r="I41" s="127"/>
      <c r="J41" s="340"/>
    </row>
    <row r="42" spans="2:10" ht="15" customHeight="1" x14ac:dyDescent="0.3">
      <c r="B42" s="135" t="s">
        <v>82</v>
      </c>
      <c r="C42" s="1"/>
      <c r="D42" s="62"/>
      <c r="E42" s="203"/>
      <c r="F42" s="213" t="str">
        <f>IF((D42&gt;0),D42*100/(_EE01),"")</f>
        <v/>
      </c>
      <c r="G42" s="203"/>
      <c r="H42" s="10" t="s">
        <v>337</v>
      </c>
      <c r="I42" s="127"/>
      <c r="J42" s="340"/>
    </row>
    <row r="43" spans="2:10" ht="15" customHeight="1" x14ac:dyDescent="0.3">
      <c r="B43" s="135" t="s">
        <v>83</v>
      </c>
      <c r="C43" s="1"/>
      <c r="D43" s="62"/>
      <c r="E43" s="203"/>
      <c r="F43" s="213" t="str">
        <f>IF(D43&gt;0,D43*100/(_EE01),"")</f>
        <v/>
      </c>
      <c r="G43" s="203"/>
      <c r="H43" s="10" t="s">
        <v>348</v>
      </c>
      <c r="I43" s="127"/>
      <c r="J43" s="340"/>
    </row>
    <row r="44" spans="2:10" ht="15" customHeight="1" x14ac:dyDescent="0.3">
      <c r="B44" s="135" t="s">
        <v>862</v>
      </c>
      <c r="C44" s="1"/>
      <c r="D44" s="62"/>
      <c r="E44" s="203"/>
      <c r="F44" s="213" t="str">
        <f>IF(D44&gt;0,D44*100/(_EE01),"")</f>
        <v/>
      </c>
      <c r="G44" s="203"/>
      <c r="H44" s="10" t="s">
        <v>65</v>
      </c>
      <c r="I44" s="127"/>
      <c r="J44" s="340"/>
    </row>
    <row r="45" spans="2:10" ht="13" x14ac:dyDescent="0.3">
      <c r="C45" s="1"/>
      <c r="D45" s="205"/>
      <c r="E45" s="33"/>
      <c r="F45" s="63"/>
      <c r="G45" s="33"/>
      <c r="J45" s="7"/>
    </row>
    <row r="46" spans="2:10" ht="13" x14ac:dyDescent="0.3">
      <c r="B46" s="9" t="s">
        <v>84</v>
      </c>
      <c r="C46" s="1"/>
      <c r="J46" s="7"/>
    </row>
    <row r="47" spans="2:10" ht="11.25" customHeight="1" x14ac:dyDescent="0.3">
      <c r="C47" s="1"/>
      <c r="F47" s="1"/>
      <c r="H47" s="1"/>
      <c r="J47" s="7"/>
    </row>
    <row r="48" spans="2:10" ht="13" x14ac:dyDescent="0.3">
      <c r="B48" t="s">
        <v>1140</v>
      </c>
      <c r="C48" s="1"/>
      <c r="D48" s="138" t="s">
        <v>544</v>
      </c>
      <c r="F48" s="1"/>
      <c r="H48" s="1"/>
      <c r="J48" s="7"/>
    </row>
    <row r="49" spans="2:10" ht="15" customHeight="1" x14ac:dyDescent="0.3">
      <c r="B49" s="168" t="s">
        <v>1141</v>
      </c>
      <c r="C49" s="1"/>
      <c r="D49" s="61"/>
      <c r="E49" s="202"/>
      <c r="G49" s="26"/>
      <c r="H49" s="10" t="s">
        <v>375</v>
      </c>
      <c r="I49" s="28" t="str">
        <f>IF(AND(_EE01&gt;0,_EN10=0),"Sie haben eigene Vermietungseinheiten!","")</f>
        <v/>
      </c>
      <c r="J49" s="340"/>
    </row>
    <row r="50" spans="2:10" ht="15.75" customHeight="1" x14ac:dyDescent="0.3">
      <c r="B50" s="134" t="s">
        <v>85</v>
      </c>
      <c r="C50" s="1"/>
      <c r="D50" s="138" t="s">
        <v>544</v>
      </c>
      <c r="H50" s="1"/>
      <c r="I50" s="28" t="str">
        <f>IF(AND(_EE01&gt;0,_EN10=0),"Bitte machen Sie Angaben zu den Quadratmetern","")</f>
        <v/>
      </c>
      <c r="J50" s="7"/>
    </row>
    <row r="51" spans="2:10" ht="15" customHeight="1" x14ac:dyDescent="0.3">
      <c r="B51" s="135" t="s">
        <v>86</v>
      </c>
      <c r="C51" s="1"/>
      <c r="D51" s="61"/>
      <c r="E51" s="202"/>
      <c r="G51" s="26"/>
      <c r="H51" s="10" t="s">
        <v>47</v>
      </c>
      <c r="J51" s="340"/>
    </row>
    <row r="52" spans="2:10" ht="12.75" customHeight="1" x14ac:dyDescent="0.3">
      <c r="C52" s="1"/>
      <c r="H52" s="1"/>
      <c r="J52" s="7"/>
    </row>
    <row r="53" spans="2:10" ht="15" customHeight="1" x14ac:dyDescent="0.3">
      <c r="B53" t="s">
        <v>87</v>
      </c>
      <c r="C53" s="1"/>
      <c r="D53" s="138" t="s">
        <v>544</v>
      </c>
      <c r="J53" s="7"/>
    </row>
    <row r="54" spans="2:10" ht="15" customHeight="1" x14ac:dyDescent="0.3">
      <c r="B54" s="168" t="s">
        <v>1141</v>
      </c>
      <c r="C54" s="1"/>
      <c r="D54" s="61"/>
      <c r="E54" s="202"/>
      <c r="G54" s="26"/>
      <c r="H54" s="10" t="s">
        <v>1274</v>
      </c>
      <c r="I54" s="28" t="str">
        <f>IF(AND(_PE01&gt;0),"Sie haben durch Miete/Pacht erworbene Vermietungseinheiten!","")</f>
        <v/>
      </c>
      <c r="J54" s="340"/>
    </row>
    <row r="55" spans="2:10" ht="15" customHeight="1" x14ac:dyDescent="0.3">
      <c r="B55" s="134" t="s">
        <v>85</v>
      </c>
      <c r="C55" s="1"/>
      <c r="D55" s="138" t="s">
        <v>544</v>
      </c>
      <c r="H55" s="1"/>
      <c r="I55" s="28" t="str">
        <f>IF(AND(_PE01&gt;0),"Bitte machen Sie Angaben zu den Qudratmetern","")</f>
        <v/>
      </c>
      <c r="J55" s="7"/>
    </row>
    <row r="56" spans="2:10" ht="15" customHeight="1" x14ac:dyDescent="0.3">
      <c r="B56" s="135" t="s">
        <v>88</v>
      </c>
      <c r="C56" s="1"/>
      <c r="D56" s="61"/>
      <c r="E56" s="202"/>
      <c r="G56" s="26"/>
      <c r="H56" s="10" t="s">
        <v>1275</v>
      </c>
      <c r="J56" s="340"/>
    </row>
    <row r="57" spans="2:10" ht="13" x14ac:dyDescent="0.3">
      <c r="C57" s="1"/>
      <c r="D57" s="1"/>
      <c r="E57" s="1"/>
      <c r="F57" s="1"/>
      <c r="G57" s="1"/>
      <c r="H57" s="1"/>
      <c r="J57" s="7"/>
    </row>
    <row r="58" spans="2:10" ht="13" x14ac:dyDescent="0.3">
      <c r="B58" s="9" t="s">
        <v>1266</v>
      </c>
      <c r="C58" s="1"/>
      <c r="H58" s="1"/>
      <c r="J58" s="7"/>
    </row>
    <row r="59" spans="2:10" ht="13" x14ac:dyDescent="0.3">
      <c r="C59" s="1"/>
      <c r="D59" s="138" t="s">
        <v>766</v>
      </c>
      <c r="J59" s="7"/>
    </row>
    <row r="60" spans="2:10" ht="15" customHeight="1" x14ac:dyDescent="0.3">
      <c r="B60" t="s">
        <v>89</v>
      </c>
      <c r="C60" s="1"/>
      <c r="D60" s="61"/>
      <c r="E60" s="202"/>
      <c r="G60" s="26"/>
      <c r="H60" s="10" t="s">
        <v>374</v>
      </c>
      <c r="J60" s="340"/>
    </row>
    <row r="61" spans="2:10" ht="15" customHeight="1" x14ac:dyDescent="0.3">
      <c r="C61" s="1"/>
      <c r="J61" s="7"/>
    </row>
    <row r="62" spans="2:10" ht="13" x14ac:dyDescent="0.3">
      <c r="H62" s="1"/>
    </row>
    <row r="63" spans="2:10" ht="13" x14ac:dyDescent="0.3">
      <c r="H63" s="1"/>
    </row>
    <row r="64" spans="2:10" ht="13" x14ac:dyDescent="0.3">
      <c r="B64" s="7"/>
      <c r="C64" s="1"/>
      <c r="H64" s="1"/>
    </row>
    <row r="65" spans="2:8" ht="13" x14ac:dyDescent="0.3">
      <c r="B65" s="7"/>
      <c r="C65" s="1"/>
      <c r="H65" s="1"/>
    </row>
    <row r="66" spans="2:8" ht="13" x14ac:dyDescent="0.3">
      <c r="B66" s="8"/>
      <c r="C66" s="1"/>
      <c r="D66" s="1"/>
      <c r="E66" s="1"/>
      <c r="F66" s="1"/>
      <c r="G66" s="1"/>
      <c r="H66" s="1"/>
    </row>
    <row r="67" spans="2:8" ht="13" x14ac:dyDescent="0.3">
      <c r="B67" s="7"/>
      <c r="C67" s="1"/>
      <c r="D67" s="1"/>
      <c r="E67" s="1"/>
      <c r="F67" s="1"/>
      <c r="G67" s="1"/>
      <c r="H67" s="1"/>
    </row>
    <row r="68" spans="2:8" ht="13" x14ac:dyDescent="0.3">
      <c r="B68" s="7"/>
      <c r="C68" s="1"/>
      <c r="D68" s="1"/>
      <c r="E68" s="1"/>
      <c r="F68" s="1"/>
      <c r="G68" s="1"/>
      <c r="H68" s="1"/>
    </row>
    <row r="69" spans="2:8" ht="13" x14ac:dyDescent="0.3">
      <c r="C69" s="1"/>
      <c r="D69" s="1"/>
      <c r="E69" s="1"/>
      <c r="F69" s="1"/>
      <c r="G69" s="1"/>
      <c r="H69" s="1"/>
    </row>
    <row r="70" spans="2:8" ht="13" x14ac:dyDescent="0.3">
      <c r="C70" s="1"/>
      <c r="D70" s="1"/>
      <c r="E70" s="1"/>
      <c r="F70" s="1"/>
      <c r="G70" s="1"/>
      <c r="H70" s="1"/>
    </row>
    <row r="71" spans="2:8" ht="13" x14ac:dyDescent="0.3">
      <c r="C71" s="1"/>
      <c r="D71" s="1"/>
      <c r="E71" s="1"/>
      <c r="F71" s="1"/>
      <c r="G71" s="1"/>
      <c r="H71" s="1"/>
    </row>
    <row r="72" spans="2:8" ht="13" x14ac:dyDescent="0.3">
      <c r="D72" s="1"/>
      <c r="E72" s="1"/>
      <c r="F72" s="1"/>
      <c r="G72" s="1"/>
      <c r="H72" s="1"/>
    </row>
    <row r="73" spans="2:8" ht="13" x14ac:dyDescent="0.3">
      <c r="B73" s="8"/>
      <c r="C73" s="1"/>
      <c r="D73" s="1"/>
      <c r="E73" s="1"/>
      <c r="F73" s="1"/>
      <c r="G73" s="1"/>
      <c r="H73" s="1"/>
    </row>
    <row r="74" spans="2:8" ht="13" x14ac:dyDescent="0.3">
      <c r="D74" s="1"/>
      <c r="E74" s="1"/>
      <c r="F74" s="1"/>
      <c r="G74" s="1"/>
      <c r="H74" s="1"/>
    </row>
    <row r="75" spans="2:8" ht="13" x14ac:dyDescent="0.3">
      <c r="D75" s="1"/>
      <c r="E75" s="1"/>
      <c r="F75" s="1"/>
      <c r="G75" s="1"/>
      <c r="H75" s="1"/>
    </row>
    <row r="76" spans="2:8" ht="13" x14ac:dyDescent="0.3">
      <c r="D76" s="1"/>
      <c r="E76" s="1"/>
      <c r="F76" s="1"/>
      <c r="G76" s="1"/>
      <c r="H76" s="1"/>
    </row>
    <row r="77" spans="2:8" ht="13" x14ac:dyDescent="0.3">
      <c r="D77" s="1"/>
      <c r="E77" s="1"/>
      <c r="F77" s="1"/>
      <c r="G77" s="1"/>
      <c r="H77" s="1"/>
    </row>
    <row r="78" spans="2:8" ht="13" x14ac:dyDescent="0.3">
      <c r="D78" s="1"/>
      <c r="E78" s="1"/>
      <c r="F78" s="1"/>
      <c r="G78" s="1"/>
      <c r="H78" s="1"/>
    </row>
    <row r="79" spans="2:8" ht="13" x14ac:dyDescent="0.3">
      <c r="D79" s="1"/>
      <c r="E79" s="1"/>
      <c r="F79" s="1"/>
      <c r="G79" s="1"/>
      <c r="H79" s="1"/>
    </row>
  </sheetData>
  <sheetProtection password="92CE" sheet="1"/>
  <phoneticPr fontId="0" type="noConversion"/>
  <dataValidations xWindow="615" yWindow="413" count="11">
    <dataValidation type="decimal" operator="greaterThan" allowBlank="1" showInputMessage="1" showErrorMessage="1" errorTitle="Fehler" error="Ihre Eingabe muss numerisch und darf nicht &quot;0&quot; sein!" sqref="D11:E14 D17:E20 D23:E28 G11:G14 G17:G20 G23:G28" xr:uid="{00000000-0002-0000-0100-000000000000}">
      <formula1>0</formula1>
    </dataValidation>
    <dataValidation type="decimal" operator="greaterThan" allowBlank="1" showInputMessage="1" showErrorMessage="1" errorTitle="Kündigungsqoute" error="Angabe =0 ist aus statitischen Gründen nicht zulässig!_x000a_Angabe muss numerisch sein!" sqref="D34:E34 G34 G30:G31 D30:E32 G32:H32" xr:uid="{00000000-0002-0000-0100-000001000000}">
      <formula1>0</formula1>
    </dataValidation>
    <dataValidation allowBlank="1" showErrorMessage="1" errorTitle="Leerstand Modernisierung" error="Ihre Eingabe muss zwischen 0 und 100 liegen" sqref="D40:E40 G40" xr:uid="{00000000-0002-0000-0100-000002000000}"/>
    <dataValidation allowBlank="1" showErrorMessage="1" errorTitle="Leerstand Abriss" error="Ihre Engabe muss zwischen 0 und 100 liegen" sqref="D41:E41 G41" xr:uid="{00000000-0002-0000-0100-000003000000}"/>
    <dataValidation allowBlank="1" showErrorMessage="1" errorTitle="Leerstand Gesamt" error="Ihre Eingabe muss zwischen 0 und 100 liegen" sqref="D37:E37 G37" xr:uid="{00000000-0002-0000-0100-000004000000}"/>
    <dataValidation allowBlank="1" showErrorMessage="1" errorTitle="Leerstand Verkauf" error="Ihre Eingabe muss zwischen 0 und 100 liegen" sqref="D42:E42 G42" xr:uid="{00000000-0002-0000-0100-000005000000}"/>
    <dataValidation allowBlank="1" showErrorMessage="1" errorTitle="Leerstand Vermietungsschwierigk." error="Ihre Eingabe muss zwischen 0 und 100 liegen" sqref="D43:E43 G43" xr:uid="{00000000-0002-0000-0100-000006000000}"/>
    <dataValidation allowBlank="1" showErrorMessage="1" errorTitle="Leerstand Stilllegung" error="Ihre Eingabe muss zwischen 0 und 100 liegen" sqref="D44:E44 G44" xr:uid="{00000000-0002-0000-0100-000007000000}"/>
    <dataValidation operator="greaterThan" allowBlank="1" showInputMessage="1" showErrorMessage="1" errorTitle="Kündigungsqoute" error="Angabe =0 ist aus statitischen Gründen nicht zulässig!_x000a_Angabe muss numerisch sein!" sqref="F34 F30:F31" xr:uid="{00000000-0002-0000-0100-000008000000}"/>
    <dataValidation allowBlank="1" showInputMessage="1" showErrorMessage="1" errorTitle="Leerstand Gesamt" error="Ihre Eingabe muss zwischen 0 und 100 liegen" sqref="F37 J42 F41:F44" xr:uid="{00000000-0002-0000-0100-000009000000}"/>
    <dataValidation allowBlank="1" showInputMessage="1" showErrorMessage="1" errorTitle="Leerstand Gesamt" error="Ihre Eingabe muss zwischen 0 und 100 liegen" prompt="_x000a_" sqref="F40" xr:uid="{00000000-0002-0000-0100-00000A000000}"/>
  </dataValidations>
  <pageMargins left="0.78740157499999996" right="0.4" top="0.66" bottom="0.69" header="0.4921259845" footer="0.22"/>
  <pageSetup paperSize="9" scale="96" orientation="portrait" horizontalDpi="4294967292" verticalDpi="300" r:id="rId1"/>
  <headerFooter alignWithMargins="0">
    <oddFooter>&amp;C&amp;"Arial,Fett"Teil I - Seite 2</oddFooter>
  </headerFooter>
  <drawing r:id="rId2"/>
  <legacyDrawing r:id="rId3"/>
  <controls>
    <mc:AlternateContent xmlns:mc="http://schemas.openxmlformats.org/markup-compatibility/2006">
      <mc:Choice Requires="x14">
        <control shapeId="3074" r:id="rId4" name="CommandButton1">
          <controlPr defaultSize="0" autoLine="0" r:id="rId5">
            <anchor moveWithCells="1">
              <from>
                <xdr:col>0</xdr:col>
                <xdr:colOff>19050</xdr:colOff>
                <xdr:row>61</xdr:row>
                <xdr:rowOff>0</xdr:rowOff>
              </from>
              <to>
                <xdr:col>1</xdr:col>
                <xdr:colOff>952500</xdr:colOff>
                <xdr:row>63</xdr:row>
                <xdr:rowOff>12700</xdr:rowOff>
              </to>
            </anchor>
          </controlPr>
        </control>
      </mc:Choice>
      <mc:Fallback>
        <control shapeId="3074" r:id="rId4" name="CommandButton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9">
    <pageSetUpPr fitToPage="1"/>
  </sheetPr>
  <dimension ref="B1:L44"/>
  <sheetViews>
    <sheetView workbookViewId="0">
      <pane ySplit="3" topLeftCell="A22" activePane="bottomLeft" state="frozen"/>
      <selection activeCell="G24" sqref="G24"/>
      <selection pane="bottomLeft" activeCell="E31" sqref="E31"/>
    </sheetView>
  </sheetViews>
  <sheetFormatPr baseColWidth="10" defaultColWidth="11.453125" defaultRowHeight="12.5" x14ac:dyDescent="0.25"/>
  <cols>
    <col min="1" max="1" width="4" style="285" customWidth="1"/>
    <col min="2" max="2" width="3.7265625" style="285" customWidth="1"/>
    <col min="3" max="3" width="35.7265625" style="285" customWidth="1"/>
    <col min="4" max="4" width="2.81640625" style="285" customWidth="1"/>
    <col min="5" max="6" width="12.81640625" style="286" customWidth="1"/>
    <col min="7" max="7" width="1" style="286" customWidth="1"/>
    <col min="8" max="8" width="11.1796875" style="285" customWidth="1"/>
    <col min="9" max="9" width="1.1796875" style="285" customWidth="1"/>
    <col min="10" max="10" width="11.453125" style="285"/>
    <col min="11" max="11" width="1.81640625" style="285" customWidth="1"/>
    <col min="12" max="12" width="1.7265625" style="285" customWidth="1"/>
    <col min="13" max="16384" width="11.453125" style="285"/>
  </cols>
  <sheetData>
    <row r="1" spans="2:10" ht="21" customHeight="1" x14ac:dyDescent="0.25"/>
    <row r="2" spans="2:10" ht="16.899999999999999" customHeight="1" x14ac:dyDescent="0.4">
      <c r="B2" s="287" t="str">
        <f>"Cashflow für "&amp;_JAHR</f>
        <v>Cashflow für 2022</v>
      </c>
      <c r="D2" s="288"/>
    </row>
    <row r="3" spans="2:10" ht="24.65" customHeight="1" x14ac:dyDescent="0.35">
      <c r="B3" s="289"/>
      <c r="C3" s="290"/>
    </row>
    <row r="4" spans="2:10" ht="6" customHeight="1" x14ac:dyDescent="0.35">
      <c r="B4" s="291"/>
      <c r="E4" s="292"/>
      <c r="F4" s="292"/>
      <c r="H4" s="293"/>
      <c r="J4" s="293"/>
    </row>
    <row r="5" spans="2:10" ht="15.5" x14ac:dyDescent="0.35">
      <c r="C5" s="291" t="s">
        <v>247</v>
      </c>
      <c r="E5" s="294" t="s">
        <v>196</v>
      </c>
      <c r="F5" s="294" t="s">
        <v>196</v>
      </c>
      <c r="G5" s="294"/>
      <c r="H5" s="295" t="s">
        <v>976</v>
      </c>
      <c r="I5" s="295"/>
      <c r="J5" s="296" t="s">
        <v>197</v>
      </c>
    </row>
    <row r="6" spans="2:10" ht="6" customHeight="1" x14ac:dyDescent="0.3">
      <c r="B6" s="290"/>
      <c r="C6" s="290"/>
      <c r="D6" s="290"/>
      <c r="E6" s="297"/>
      <c r="F6" s="297"/>
      <c r="G6" s="294"/>
      <c r="H6" s="298"/>
      <c r="I6" s="295"/>
      <c r="J6" s="290"/>
    </row>
    <row r="7" spans="2:10" x14ac:dyDescent="0.25">
      <c r="H7" s="299"/>
    </row>
    <row r="8" spans="2:10" ht="13" x14ac:dyDescent="0.3">
      <c r="C8" s="300" t="s">
        <v>318</v>
      </c>
      <c r="E8" s="301"/>
      <c r="F8" s="301">
        <f>_GW10</f>
        <v>0</v>
      </c>
      <c r="G8" s="301"/>
      <c r="J8" s="285" t="s">
        <v>319</v>
      </c>
    </row>
    <row r="9" spans="2:10" x14ac:dyDescent="0.25">
      <c r="C9" s="285" t="s">
        <v>977</v>
      </c>
      <c r="E9" s="301"/>
      <c r="F9" s="301">
        <f>-_GW20</f>
        <v>0</v>
      </c>
      <c r="G9" s="301"/>
      <c r="J9" s="285" t="s">
        <v>978</v>
      </c>
    </row>
    <row r="10" spans="2:10" x14ac:dyDescent="0.25">
      <c r="C10" s="302" t="s">
        <v>979</v>
      </c>
      <c r="E10" s="301"/>
      <c r="F10" s="301"/>
      <c r="G10" s="301"/>
    </row>
    <row r="11" spans="2:10" x14ac:dyDescent="0.25">
      <c r="C11" s="285" t="s">
        <v>997</v>
      </c>
      <c r="F11" s="301">
        <f>_AA10</f>
        <v>0</v>
      </c>
      <c r="J11" s="285" t="s">
        <v>279</v>
      </c>
    </row>
    <row r="12" spans="2:10" x14ac:dyDescent="0.25">
      <c r="C12" s="285" t="s">
        <v>1018</v>
      </c>
      <c r="E12" s="301"/>
      <c r="F12" s="301">
        <f>_ZA02</f>
        <v>0</v>
      </c>
      <c r="G12" s="301"/>
      <c r="J12" s="285" t="s">
        <v>1019</v>
      </c>
    </row>
    <row r="13" spans="2:10" x14ac:dyDescent="0.25">
      <c r="C13" s="285" t="s">
        <v>1002</v>
      </c>
      <c r="E13" s="301"/>
      <c r="F13" s="301">
        <f>_AF10</f>
        <v>0</v>
      </c>
      <c r="G13" s="301"/>
      <c r="J13" s="285" t="s">
        <v>295</v>
      </c>
    </row>
    <row r="14" spans="2:10" x14ac:dyDescent="0.25">
      <c r="C14" s="285" t="s">
        <v>1020</v>
      </c>
      <c r="E14" s="301"/>
      <c r="F14" s="301"/>
      <c r="G14" s="301"/>
    </row>
    <row r="15" spans="2:10" x14ac:dyDescent="0.25">
      <c r="C15" s="285" t="s">
        <v>1021</v>
      </c>
      <c r="E15" s="301">
        <f>_SP10</f>
        <v>0</v>
      </c>
      <c r="F15" s="301"/>
      <c r="G15" s="301"/>
      <c r="J15" s="285" t="s">
        <v>224</v>
      </c>
    </row>
    <row r="16" spans="2:10" x14ac:dyDescent="0.25">
      <c r="C16" s="285" t="s">
        <v>1022</v>
      </c>
      <c r="E16" s="304">
        <f>-_SP09</f>
        <v>0</v>
      </c>
      <c r="F16" s="301"/>
      <c r="G16" s="301"/>
      <c r="J16" s="285" t="s">
        <v>1023</v>
      </c>
    </row>
    <row r="17" spans="3:12" x14ac:dyDescent="0.25">
      <c r="E17" s="301"/>
      <c r="F17" s="301">
        <f>SUM(E15:E16)</f>
        <v>0</v>
      </c>
      <c r="G17" s="301"/>
    </row>
    <row r="18" spans="3:12" x14ac:dyDescent="0.25">
      <c r="C18" s="285" t="s">
        <v>1024</v>
      </c>
      <c r="E18" s="301"/>
      <c r="F18" s="301"/>
      <c r="G18" s="301"/>
    </row>
    <row r="19" spans="3:12" x14ac:dyDescent="0.25">
      <c r="C19" s="285" t="s">
        <v>1021</v>
      </c>
      <c r="E19" s="301">
        <f>_LR10</f>
        <v>0</v>
      </c>
      <c r="F19" s="301"/>
      <c r="G19" s="301"/>
      <c r="J19" s="285" t="s">
        <v>228</v>
      </c>
    </row>
    <row r="20" spans="3:12" x14ac:dyDescent="0.25">
      <c r="C20" s="285" t="s">
        <v>1022</v>
      </c>
      <c r="E20" s="301">
        <f>-_LR09</f>
        <v>0</v>
      </c>
      <c r="F20" s="301"/>
      <c r="G20" s="301"/>
      <c r="J20" s="285" t="s">
        <v>1025</v>
      </c>
    </row>
    <row r="21" spans="3:12" x14ac:dyDescent="0.25">
      <c r="C21" s="296" t="s">
        <v>1039</v>
      </c>
      <c r="D21" s="305"/>
      <c r="E21" s="304">
        <f>_LR09A</f>
        <v>0</v>
      </c>
      <c r="F21" s="301"/>
      <c r="G21" s="301"/>
      <c r="J21" s="303" t="s">
        <v>1026</v>
      </c>
    </row>
    <row r="22" spans="3:12" x14ac:dyDescent="0.25">
      <c r="E22" s="301"/>
      <c r="F22" s="301">
        <f>SUM(E19:E21)</f>
        <v>0</v>
      </c>
      <c r="G22" s="301"/>
    </row>
    <row r="23" spans="3:12" x14ac:dyDescent="0.25">
      <c r="C23" s="285" t="s">
        <v>994</v>
      </c>
      <c r="E23" s="301"/>
      <c r="F23" s="301">
        <f>-_SE02</f>
        <v>0</v>
      </c>
      <c r="G23" s="301"/>
      <c r="J23" s="285" t="s">
        <v>995</v>
      </c>
    </row>
    <row r="24" spans="3:12" x14ac:dyDescent="0.25">
      <c r="C24" s="285" t="s">
        <v>1027</v>
      </c>
      <c r="E24" s="301"/>
      <c r="F24" s="301">
        <f>-_ZE10</f>
        <v>0</v>
      </c>
      <c r="G24" s="301"/>
      <c r="J24" s="303" t="s">
        <v>1028</v>
      </c>
    </row>
    <row r="25" spans="3:12" x14ac:dyDescent="0.25">
      <c r="C25" s="285" t="s">
        <v>1029</v>
      </c>
      <c r="E25" s="301"/>
      <c r="F25" s="301">
        <f>+_ZW10</f>
        <v>0</v>
      </c>
      <c r="G25" s="301"/>
      <c r="J25" s="303" t="s">
        <v>1030</v>
      </c>
    </row>
    <row r="26" spans="3:12" x14ac:dyDescent="0.25">
      <c r="E26" s="301"/>
      <c r="F26" s="301"/>
      <c r="G26" s="301"/>
    </row>
    <row r="27" spans="3:12" ht="13" x14ac:dyDescent="0.3">
      <c r="C27" s="300" t="s">
        <v>27</v>
      </c>
      <c r="E27" s="306">
        <f>F27</f>
        <v>0</v>
      </c>
      <c r="F27" s="307">
        <f>SUM(F8:F26)</f>
        <v>0</v>
      </c>
      <c r="G27" s="308"/>
      <c r="H27" s="309">
        <f>F27/1000</f>
        <v>0</v>
      </c>
      <c r="I27" s="310"/>
    </row>
    <row r="28" spans="3:12" x14ac:dyDescent="0.25">
      <c r="E28" s="301"/>
      <c r="H28" s="311">
        <f>_K14</f>
        <v>0</v>
      </c>
      <c r="I28" s="310"/>
      <c r="J28" s="312" t="s">
        <v>1031</v>
      </c>
    </row>
    <row r="29" spans="3:12" x14ac:dyDescent="0.25">
      <c r="E29" s="301"/>
      <c r="H29" s="313">
        <f>H27-H28</f>
        <v>0</v>
      </c>
    </row>
    <row r="30" spans="3:12" x14ac:dyDescent="0.25">
      <c r="C30" s="285" t="s">
        <v>1032</v>
      </c>
      <c r="E30" s="301">
        <f>-_SE08</f>
        <v>0</v>
      </c>
      <c r="G30" s="301"/>
      <c r="J30" s="285" t="s">
        <v>1033</v>
      </c>
      <c r="L30" s="314" t="s">
        <v>1034</v>
      </c>
    </row>
    <row r="31" spans="3:12" ht="13" x14ac:dyDescent="0.25">
      <c r="C31" s="315" t="s">
        <v>627</v>
      </c>
      <c r="E31" s="307">
        <f>SUM(E27:E30)</f>
        <v>0</v>
      </c>
      <c r="G31" s="308"/>
      <c r="H31" s="309">
        <f>E31/1000</f>
        <v>0</v>
      </c>
      <c r="I31" s="310"/>
    </row>
    <row r="32" spans="3:12" x14ac:dyDescent="0.25">
      <c r="C32" s="316"/>
      <c r="E32" s="301"/>
      <c r="H32" s="311">
        <f>_K14A</f>
        <v>0</v>
      </c>
      <c r="I32" s="310"/>
      <c r="J32" s="312" t="s">
        <v>1035</v>
      </c>
    </row>
    <row r="33" spans="3:10" x14ac:dyDescent="0.25">
      <c r="C33" s="316"/>
      <c r="E33" s="301"/>
      <c r="H33" s="313">
        <f>H31-H32</f>
        <v>0</v>
      </c>
    </row>
    <row r="34" spans="3:10" ht="50" x14ac:dyDescent="0.25">
      <c r="C34" s="316" t="s">
        <v>1435</v>
      </c>
      <c r="E34" s="301">
        <f>-_LR09A</f>
        <v>0</v>
      </c>
      <c r="H34" s="313"/>
      <c r="J34" s="303" t="s">
        <v>1026</v>
      </c>
    </row>
    <row r="35" spans="3:10" x14ac:dyDescent="0.25">
      <c r="C35" s="285" t="s">
        <v>1036</v>
      </c>
      <c r="E35" s="301">
        <f>+_IK01</f>
        <v>0</v>
      </c>
      <c r="G35" s="301"/>
      <c r="J35" s="285" t="s">
        <v>1007</v>
      </c>
    </row>
    <row r="36" spans="3:10" x14ac:dyDescent="0.25">
      <c r="C36" s="316" t="s">
        <v>632</v>
      </c>
      <c r="E36" s="307">
        <f>SUM(E31:E35)</f>
        <v>0</v>
      </c>
      <c r="G36" s="308"/>
      <c r="H36" s="309">
        <f>E36/1000</f>
        <v>0</v>
      </c>
      <c r="I36" s="310"/>
    </row>
    <row r="37" spans="3:10" x14ac:dyDescent="0.25">
      <c r="E37" s="301"/>
      <c r="H37" s="311">
        <f>_K14B</f>
        <v>0</v>
      </c>
      <c r="I37" s="310"/>
      <c r="J37" s="312" t="s">
        <v>1037</v>
      </c>
    </row>
    <row r="38" spans="3:10" x14ac:dyDescent="0.25">
      <c r="C38" s="316"/>
      <c r="E38" s="301"/>
      <c r="H38" s="313">
        <f>H36-H37</f>
        <v>0</v>
      </c>
    </row>
    <row r="39" spans="3:10" x14ac:dyDescent="0.25">
      <c r="F39" s="301">
        <f>-_LR09A</f>
        <v>0</v>
      </c>
      <c r="J39" s="303" t="s">
        <v>1026</v>
      </c>
    </row>
    <row r="40" spans="3:10" x14ac:dyDescent="0.25">
      <c r="F40" s="301">
        <f>+_ZE10</f>
        <v>0</v>
      </c>
      <c r="J40" s="303" t="s">
        <v>1028</v>
      </c>
    </row>
    <row r="41" spans="3:10" x14ac:dyDescent="0.25">
      <c r="F41" s="301">
        <f>-_ZW10</f>
        <v>0</v>
      </c>
      <c r="J41" s="303" t="s">
        <v>1030</v>
      </c>
    </row>
    <row r="42" spans="3:10" x14ac:dyDescent="0.25">
      <c r="C42" s="316" t="s">
        <v>964</v>
      </c>
      <c r="E42" s="301"/>
      <c r="F42" s="317">
        <f>SUM(F27:F41)</f>
        <v>0</v>
      </c>
      <c r="G42" s="308"/>
      <c r="H42" s="309">
        <f>F42/1000</f>
        <v>0</v>
      </c>
      <c r="I42" s="310"/>
    </row>
    <row r="43" spans="3:10" x14ac:dyDescent="0.25">
      <c r="E43" s="301"/>
      <c r="H43" s="311">
        <f>_K14C</f>
        <v>0</v>
      </c>
      <c r="I43" s="310"/>
      <c r="J43" s="312" t="s">
        <v>1038</v>
      </c>
    </row>
    <row r="44" spans="3:10" x14ac:dyDescent="0.25">
      <c r="C44" s="316"/>
      <c r="E44" s="301"/>
      <c r="H44" s="313">
        <f>H42-H43</f>
        <v>0</v>
      </c>
    </row>
  </sheetData>
  <sheetProtection password="92CE" sheet="1"/>
  <phoneticPr fontId="8" type="noConversion"/>
  <pageMargins left="0.75" right="0.27559055118110237" top="0.42" bottom="0" header="0.67" footer="0.51181102362204722"/>
  <pageSetup paperSize="9" scale="94"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0">
    <pageSetUpPr fitToPage="1"/>
  </sheetPr>
  <dimension ref="A1:N73"/>
  <sheetViews>
    <sheetView showGridLines="0" workbookViewId="0">
      <selection activeCell="R43" sqref="R43"/>
    </sheetView>
  </sheetViews>
  <sheetFormatPr baseColWidth="10" defaultColWidth="11.453125" defaultRowHeight="12.5" x14ac:dyDescent="0.25"/>
  <cols>
    <col min="1" max="1" width="4" customWidth="1"/>
    <col min="2" max="2" width="3.7265625" customWidth="1"/>
    <col min="3" max="3" width="35.7265625" customWidth="1"/>
    <col min="4" max="4" width="2.81640625" customWidth="1"/>
    <col min="5" max="6" width="12.81640625" style="66" customWidth="1"/>
    <col min="7" max="7" width="1" style="66" customWidth="1"/>
    <col min="8" max="8" width="8.81640625" customWidth="1"/>
    <col min="9" max="9" width="1.1796875" customWidth="1"/>
    <col min="10" max="10" width="11.54296875" customWidth="1"/>
    <col min="11" max="12" width="1.453125" customWidth="1"/>
  </cols>
  <sheetData>
    <row r="1" spans="1:14" ht="21" customHeight="1" x14ac:dyDescent="0.25">
      <c r="A1" s="14"/>
    </row>
    <row r="2" spans="1:14" ht="18" x14ac:dyDescent="0.4">
      <c r="B2" s="82" t="str">
        <f>"Hausbewirtschaftungs-(HBW)-Ergebnis für "&amp;_JAHR</f>
        <v>Hausbewirtschaftungs-(HBW)-Ergebnis für 2022</v>
      </c>
      <c r="D2" s="14"/>
    </row>
    <row r="3" spans="1:14" ht="12" customHeight="1" x14ac:dyDescent="0.4">
      <c r="B3" s="82"/>
      <c r="C3" s="14"/>
    </row>
    <row r="4" spans="1:14" ht="28.15" customHeight="1" x14ac:dyDescent="0.35">
      <c r="B4" s="226"/>
      <c r="C4" s="124"/>
    </row>
    <row r="5" spans="1:14" ht="6" customHeight="1" x14ac:dyDescent="0.35">
      <c r="B5" s="2"/>
      <c r="E5" s="243"/>
      <c r="F5" s="243"/>
      <c r="H5" s="63"/>
      <c r="J5" s="63"/>
    </row>
    <row r="6" spans="1:14" ht="15.5" x14ac:dyDescent="0.35">
      <c r="C6" s="2" t="s">
        <v>247</v>
      </c>
      <c r="E6" s="360" t="s">
        <v>196</v>
      </c>
      <c r="F6" s="360" t="s">
        <v>196</v>
      </c>
      <c r="G6" s="360"/>
      <c r="H6" s="361" t="s">
        <v>1340</v>
      </c>
      <c r="I6" s="64"/>
      <c r="J6" s="5" t="s">
        <v>197</v>
      </c>
    </row>
    <row r="7" spans="1:14" ht="6" customHeight="1" x14ac:dyDescent="0.3">
      <c r="B7" s="124"/>
      <c r="C7" s="124"/>
      <c r="D7" s="124"/>
      <c r="E7" s="362"/>
      <c r="F7" s="362"/>
      <c r="G7" s="360"/>
      <c r="H7" s="363"/>
      <c r="I7" s="64"/>
      <c r="J7" s="124"/>
    </row>
    <row r="9" spans="1:14" x14ac:dyDescent="0.25">
      <c r="C9" t="s">
        <v>1341</v>
      </c>
      <c r="E9" s="230">
        <f>_UE10</f>
        <v>0</v>
      </c>
      <c r="F9" s="230"/>
      <c r="G9" s="230"/>
      <c r="J9" t="s">
        <v>1342</v>
      </c>
      <c r="N9" s="7"/>
    </row>
    <row r="10" spans="1:14" x14ac:dyDescent="0.25">
      <c r="C10" t="s">
        <v>984</v>
      </c>
      <c r="E10" s="231">
        <f>-IF(_UE04="",0,_UE04)</f>
        <v>0</v>
      </c>
      <c r="F10" s="230"/>
      <c r="G10" s="230"/>
      <c r="J10" t="s">
        <v>1343</v>
      </c>
    </row>
    <row r="11" spans="1:14" x14ac:dyDescent="0.25">
      <c r="E11" s="230"/>
      <c r="F11" s="230">
        <f>SUM(E9:E10)</f>
        <v>0</v>
      </c>
      <c r="G11" s="230"/>
    </row>
    <row r="12" spans="1:14" ht="13" x14ac:dyDescent="0.3">
      <c r="C12" t="s">
        <v>1344</v>
      </c>
      <c r="E12" s="230"/>
      <c r="F12" s="230">
        <f>_BV10</f>
        <v>0</v>
      </c>
      <c r="G12" s="230"/>
      <c r="J12" t="s">
        <v>1345</v>
      </c>
      <c r="L12" s="1"/>
    </row>
    <row r="13" spans="1:14" ht="13" x14ac:dyDescent="0.3">
      <c r="C13" t="s">
        <v>1346</v>
      </c>
      <c r="E13" s="230">
        <f>IF(_SE03="",0,_SE03)</f>
        <v>0</v>
      </c>
      <c r="G13" s="230"/>
      <c r="J13" t="s">
        <v>1011</v>
      </c>
      <c r="L13" s="1"/>
    </row>
    <row r="14" spans="1:14" x14ac:dyDescent="0.25">
      <c r="C14" t="s">
        <v>1347</v>
      </c>
      <c r="E14" s="230">
        <f>IF(_SE07="",0,_SE07)</f>
        <v>0</v>
      </c>
      <c r="G14" s="230"/>
      <c r="J14" t="s">
        <v>1348</v>
      </c>
    </row>
    <row r="15" spans="1:14" x14ac:dyDescent="0.25">
      <c r="C15" t="s">
        <v>1349</v>
      </c>
      <c r="E15" s="231">
        <f>IF(_SE09="",0,_SE09)</f>
        <v>0</v>
      </c>
      <c r="G15" s="230"/>
      <c r="J15" t="s">
        <v>1350</v>
      </c>
    </row>
    <row r="16" spans="1:14" x14ac:dyDescent="0.25">
      <c r="E16" s="230"/>
      <c r="F16" s="230">
        <f>SUM(E13:E15)</f>
        <v>0</v>
      </c>
      <c r="G16" s="230"/>
    </row>
    <row r="17" spans="3:12" x14ac:dyDescent="0.25">
      <c r="C17" t="s">
        <v>1351</v>
      </c>
      <c r="E17" s="230">
        <f>-_AH10</f>
        <v>0</v>
      </c>
      <c r="G17" s="230"/>
      <c r="J17" t="s">
        <v>1352</v>
      </c>
    </row>
    <row r="18" spans="3:12" x14ac:dyDescent="0.25">
      <c r="C18" t="s">
        <v>1353</v>
      </c>
      <c r="E18" s="231">
        <f>--IF(_PA01="",0,_PA01)</f>
        <v>0</v>
      </c>
      <c r="G18" s="230"/>
      <c r="J18" t="s">
        <v>1354</v>
      </c>
    </row>
    <row r="19" spans="3:12" x14ac:dyDescent="0.25">
      <c r="C19" t="s">
        <v>1355</v>
      </c>
      <c r="D19" s="364" t="s">
        <v>1356</v>
      </c>
      <c r="E19" s="230">
        <f>-_IK01</f>
        <v>0</v>
      </c>
      <c r="F19" s="328" t="s">
        <v>1357</v>
      </c>
      <c r="G19" s="230"/>
      <c r="H19" s="365" t="e">
        <f>E19/$F$39</f>
        <v>#DIV/0!</v>
      </c>
      <c r="J19" s="7" t="s">
        <v>1358</v>
      </c>
    </row>
    <row r="20" spans="3:12" x14ac:dyDescent="0.25">
      <c r="E20" s="230"/>
      <c r="F20" s="230">
        <f>SUM(E17:E18)</f>
        <v>0</v>
      </c>
      <c r="G20" s="230"/>
    </row>
    <row r="21" spans="3:12" x14ac:dyDescent="0.25">
      <c r="C21" t="s">
        <v>1359</v>
      </c>
      <c r="E21"/>
      <c r="F21" s="230">
        <f>-_AH01</f>
        <v>0</v>
      </c>
      <c r="J21" t="s">
        <v>1360</v>
      </c>
    </row>
    <row r="22" spans="3:12" x14ac:dyDescent="0.25">
      <c r="C22" t="s">
        <v>1361</v>
      </c>
      <c r="E22"/>
      <c r="F22" s="230">
        <f>-_AM01</f>
        <v>0</v>
      </c>
      <c r="J22" t="s">
        <v>1362</v>
      </c>
    </row>
    <row r="23" spans="3:12" ht="37.5" x14ac:dyDescent="0.25">
      <c r="C23" s="433" t="s">
        <v>1784</v>
      </c>
      <c r="E23"/>
      <c r="F23" s="230">
        <f>-_XX60</f>
        <v>0</v>
      </c>
      <c r="J23" t="s">
        <v>1785</v>
      </c>
    </row>
    <row r="24" spans="3:12" x14ac:dyDescent="0.25">
      <c r="C24" t="s">
        <v>1363</v>
      </c>
      <c r="E24"/>
      <c r="F24" s="230">
        <f>-_ZH10</f>
        <v>0</v>
      </c>
      <c r="J24" t="s">
        <v>1364</v>
      </c>
    </row>
    <row r="25" spans="3:12" x14ac:dyDescent="0.25">
      <c r="C25" t="s">
        <v>1365</v>
      </c>
      <c r="E25"/>
      <c r="F25" s="230">
        <f>-_GR10</f>
        <v>0</v>
      </c>
      <c r="J25" t="s">
        <v>983</v>
      </c>
    </row>
    <row r="26" spans="3:12" x14ac:dyDescent="0.25">
      <c r="C26" s="7" t="s">
        <v>1366</v>
      </c>
      <c r="E26"/>
      <c r="F26" s="230"/>
    </row>
    <row r="27" spans="3:12" x14ac:dyDescent="0.25">
      <c r="C27" t="s">
        <v>1367</v>
      </c>
      <c r="E27" s="230">
        <f>-_BA21</f>
        <v>0</v>
      </c>
      <c r="F27"/>
      <c r="G27" s="230"/>
      <c r="H27" s="365" t="e">
        <f>E27/$F$39</f>
        <v>#DIV/0!</v>
      </c>
      <c r="J27" t="s">
        <v>1368</v>
      </c>
    </row>
    <row r="28" spans="3:12" x14ac:dyDescent="0.25">
      <c r="C28" t="s">
        <v>1369</v>
      </c>
      <c r="E28" s="230">
        <f>-_BA22</f>
        <v>0</v>
      </c>
      <c r="F28" s="230"/>
      <c r="G28" s="230"/>
      <c r="J28" t="s">
        <v>1370</v>
      </c>
    </row>
    <row r="29" spans="3:12" x14ac:dyDescent="0.25">
      <c r="C29" t="s">
        <v>1371</v>
      </c>
      <c r="E29" s="230">
        <f>-_BA23</f>
        <v>0</v>
      </c>
      <c r="F29" s="230"/>
      <c r="G29" s="230"/>
      <c r="J29" t="s">
        <v>1372</v>
      </c>
    </row>
    <row r="30" spans="3:12" ht="13" x14ac:dyDescent="0.3">
      <c r="C30" t="s">
        <v>1373</v>
      </c>
      <c r="E30" s="231">
        <f>-_BA14</f>
        <v>0</v>
      </c>
      <c r="F30"/>
      <c r="G30" s="230"/>
      <c r="J30" t="s">
        <v>1374</v>
      </c>
      <c r="L30" s="1"/>
    </row>
    <row r="31" spans="3:12" ht="13" x14ac:dyDescent="0.3">
      <c r="E31" s="230"/>
      <c r="F31" s="230">
        <f>SUM(E27:E30)</f>
        <v>0</v>
      </c>
      <c r="G31" s="230"/>
      <c r="L31" s="1"/>
    </row>
    <row r="32" spans="3:12" ht="13" x14ac:dyDescent="0.3">
      <c r="C32" s="1" t="s">
        <v>1375</v>
      </c>
      <c r="E32" s="230"/>
      <c r="F32" s="366">
        <f>SUM(F9:F31)</f>
        <v>0</v>
      </c>
      <c r="G32" s="230"/>
      <c r="H32" s="367" t="e">
        <f>SUM(H9:H31)</f>
        <v>#DIV/0!</v>
      </c>
      <c r="I32" s="368"/>
    </row>
    <row r="33" spans="3:10" x14ac:dyDescent="0.25">
      <c r="C33" s="7" t="s">
        <v>1376</v>
      </c>
      <c r="E33" s="230"/>
      <c r="F33" s="230">
        <f>+_AH01</f>
        <v>0</v>
      </c>
      <c r="J33" t="s">
        <v>1360</v>
      </c>
    </row>
    <row r="34" spans="3:10" x14ac:dyDescent="0.25">
      <c r="C34" s="7" t="s">
        <v>1377</v>
      </c>
      <c r="E34" s="230"/>
      <c r="F34" s="230">
        <f>-_TI10</f>
        <v>0</v>
      </c>
      <c r="G34" s="230"/>
      <c r="J34" s="7" t="s">
        <v>1378</v>
      </c>
    </row>
    <row r="35" spans="3:10" ht="13" x14ac:dyDescent="0.3">
      <c r="C35" s="1" t="s">
        <v>1379</v>
      </c>
      <c r="E35" s="230"/>
      <c r="F35" s="369">
        <f>SUM(F32:F34)</f>
        <v>0</v>
      </c>
      <c r="G35" s="230"/>
      <c r="H35" s="259"/>
      <c r="I35" s="368"/>
    </row>
    <row r="36" spans="3:10" x14ac:dyDescent="0.25">
      <c r="E36" s="230"/>
      <c r="F36" s="230"/>
      <c r="G36" s="230"/>
      <c r="H36" s="259"/>
      <c r="I36" s="368"/>
    </row>
    <row r="37" spans="3:10" ht="13" x14ac:dyDescent="0.3">
      <c r="C37" s="49"/>
      <c r="E37" s="230"/>
      <c r="F37" s="230"/>
      <c r="G37" s="230"/>
      <c r="H37" s="261"/>
      <c r="I37" s="368"/>
    </row>
    <row r="38" spans="3:10" x14ac:dyDescent="0.25">
      <c r="F38" s="267" t="s">
        <v>544</v>
      </c>
      <c r="G38" s="267"/>
    </row>
    <row r="39" spans="3:10" x14ac:dyDescent="0.25">
      <c r="C39" t="s">
        <v>1140</v>
      </c>
      <c r="F39" s="247">
        <f>_EN10</f>
        <v>0</v>
      </c>
      <c r="J39" t="s">
        <v>1013</v>
      </c>
    </row>
    <row r="40" spans="3:10" x14ac:dyDescent="0.25">
      <c r="F40" s="259"/>
    </row>
    <row r="41" spans="3:10" x14ac:dyDescent="0.25">
      <c r="F41" s="267" t="s">
        <v>544</v>
      </c>
      <c r="G41" s="267"/>
    </row>
    <row r="42" spans="3:10" x14ac:dyDescent="0.25">
      <c r="C42" t="s">
        <v>1380</v>
      </c>
      <c r="F42" s="370">
        <f>_UE01</f>
        <v>0</v>
      </c>
      <c r="J42" s="7" t="s">
        <v>1381</v>
      </c>
    </row>
    <row r="43" spans="3:10" x14ac:dyDescent="0.25">
      <c r="C43" t="s">
        <v>586</v>
      </c>
      <c r="F43" s="240">
        <f>_UE03</f>
        <v>0</v>
      </c>
      <c r="J43" s="7" t="s">
        <v>1382</v>
      </c>
    </row>
    <row r="44" spans="3:10" x14ac:dyDescent="0.25">
      <c r="F44" s="247">
        <f>SUM(F42:F43)</f>
        <v>0</v>
      </c>
    </row>
    <row r="45" spans="3:10" x14ac:dyDescent="0.25">
      <c r="F45" s="259"/>
    </row>
    <row r="46" spans="3:10" x14ac:dyDescent="0.25">
      <c r="F46" s="259"/>
    </row>
    <row r="47" spans="3:10" x14ac:dyDescent="0.25">
      <c r="F47" s="371" t="s">
        <v>1383</v>
      </c>
      <c r="H47" s="361" t="s">
        <v>1384</v>
      </c>
    </row>
    <row r="48" spans="3:10" x14ac:dyDescent="0.25">
      <c r="F48" s="363" t="s">
        <v>929</v>
      </c>
      <c r="H48" s="363" t="s">
        <v>929</v>
      </c>
    </row>
    <row r="49" spans="3:10" ht="13" x14ac:dyDescent="0.3">
      <c r="C49" s="7" t="s">
        <v>1385</v>
      </c>
      <c r="F49" s="372" t="e">
        <f>F32/(12*$F$39)</f>
        <v>#DIV/0!</v>
      </c>
      <c r="H49" s="373" t="e">
        <f>F49*12</f>
        <v>#DIV/0!</v>
      </c>
    </row>
    <row r="50" spans="3:10" x14ac:dyDescent="0.25">
      <c r="C50" s="7" t="s">
        <v>1386</v>
      </c>
      <c r="F50" s="372"/>
      <c r="H50" s="374" t="e">
        <f>-H32</f>
        <v>#DIV/0!</v>
      </c>
    </row>
    <row r="51" spans="3:10" ht="13" x14ac:dyDescent="0.3">
      <c r="C51" s="7"/>
      <c r="F51" s="372"/>
      <c r="H51" s="375" t="e">
        <f>SUM(H49:H50)</f>
        <v>#DIV/0!</v>
      </c>
    </row>
    <row r="52" spans="3:10" ht="13" x14ac:dyDescent="0.3">
      <c r="C52" s="49" t="s">
        <v>1003</v>
      </c>
      <c r="F52" s="376" t="str">
        <f>IF(_TEIL="I und II",IF(_EN10=0,0,(_UE10-_UE04+_BV10+_SE03+_SE07+_SE09-_AH10+_PA01-_BA22-_BA23-_BA21-_AH01-_AM01-_XX60-_ZH10-_GR10-_BA14)/(12*_EN10)),"")</f>
        <v/>
      </c>
      <c r="H52" s="377"/>
      <c r="I52" s="368"/>
      <c r="J52" s="378" t="s">
        <v>1387</v>
      </c>
    </row>
    <row r="53" spans="3:10" ht="13" x14ac:dyDescent="0.3">
      <c r="C53" s="49" t="s">
        <v>1005</v>
      </c>
      <c r="F53" s="379" t="e">
        <f>F49-F52</f>
        <v>#DIV/0!</v>
      </c>
      <c r="H53" s="377"/>
    </row>
    <row r="54" spans="3:10" ht="6.65" customHeight="1" x14ac:dyDescent="0.3">
      <c r="C54" s="49"/>
      <c r="F54" s="371"/>
      <c r="H54" s="377"/>
    </row>
    <row r="55" spans="3:10" ht="13" x14ac:dyDescent="0.3">
      <c r="C55" s="49"/>
      <c r="F55" s="363" t="s">
        <v>548</v>
      </c>
      <c r="H55" s="377"/>
    </row>
    <row r="56" spans="3:10" x14ac:dyDescent="0.25">
      <c r="C56" s="7" t="s">
        <v>1388</v>
      </c>
      <c r="F56" s="365" t="e">
        <f>F32/$F$44%</f>
        <v>#DIV/0!</v>
      </c>
      <c r="H56" s="377"/>
    </row>
    <row r="57" spans="3:10" ht="13" x14ac:dyDescent="0.3">
      <c r="C57" s="49"/>
      <c r="F57" s="377" t="str">
        <f>_Z17</f>
        <v/>
      </c>
      <c r="H57" s="377"/>
      <c r="I57" s="368"/>
      <c r="J57" s="378" t="s">
        <v>1389</v>
      </c>
    </row>
    <row r="58" spans="3:10" ht="13" x14ac:dyDescent="0.3">
      <c r="C58" s="49"/>
      <c r="F58" s="379" t="e">
        <f>F56-F57</f>
        <v>#DIV/0!</v>
      </c>
      <c r="H58" s="377"/>
    </row>
    <row r="59" spans="3:10" x14ac:dyDescent="0.25">
      <c r="F59" s="13"/>
      <c r="H59" s="365"/>
    </row>
    <row r="60" spans="3:10" x14ac:dyDescent="0.25">
      <c r="F60" s="13"/>
      <c r="H60" s="365"/>
    </row>
    <row r="61" spans="3:10" x14ac:dyDescent="0.25">
      <c r="F61" s="371" t="s">
        <v>1383</v>
      </c>
      <c r="H61" s="361" t="s">
        <v>1384</v>
      </c>
    </row>
    <row r="62" spans="3:10" x14ac:dyDescent="0.25">
      <c r="F62" s="363" t="s">
        <v>929</v>
      </c>
      <c r="H62" s="363" t="s">
        <v>929</v>
      </c>
    </row>
    <row r="63" spans="3:10" ht="13" x14ac:dyDescent="0.3">
      <c r="C63" s="7" t="s">
        <v>1390</v>
      </c>
      <c r="F63" s="372" t="e">
        <f>F35/(12*$F$39)</f>
        <v>#DIV/0!</v>
      </c>
      <c r="H63" s="365" t="e">
        <f>F63*12</f>
        <v>#DIV/0!</v>
      </c>
    </row>
    <row r="64" spans="3:10" x14ac:dyDescent="0.25">
      <c r="C64" s="7"/>
      <c r="F64" s="372"/>
      <c r="H64" s="374" t="e">
        <f>-H32</f>
        <v>#DIV/0!</v>
      </c>
    </row>
    <row r="65" spans="3:10" ht="13" x14ac:dyDescent="0.3">
      <c r="C65" s="7"/>
      <c r="F65" s="372"/>
      <c r="H65" s="375" t="e">
        <f>SUM(H63:H64)</f>
        <v>#DIV/0!</v>
      </c>
    </row>
    <row r="66" spans="3:10" ht="13" x14ac:dyDescent="0.3">
      <c r="C66" s="49"/>
      <c r="F66" s="376" t="str">
        <f>IF(_TEIL="I und II",IF(_EN10=0,0,(_UE10-_UE04+_BV10+_SE03+_SE07+_SE09-_AH10+_PA01-_BA22-_BA23-_BA21-_TI10-_AM01-_XX60-_ZH10-_GR10-_BA14)/(12*_EN10)),"")</f>
        <v/>
      </c>
      <c r="H66" s="376"/>
      <c r="I66" s="368"/>
      <c r="J66" s="378" t="s">
        <v>1391</v>
      </c>
    </row>
    <row r="67" spans="3:10" ht="13" x14ac:dyDescent="0.3">
      <c r="C67" s="49"/>
      <c r="F67" s="379" t="e">
        <f>F63-F66</f>
        <v>#DIV/0!</v>
      </c>
      <c r="H67" s="379"/>
    </row>
    <row r="68" spans="3:10" ht="6.65" customHeight="1" x14ac:dyDescent="0.25"/>
    <row r="69" spans="3:10" ht="13" x14ac:dyDescent="0.3">
      <c r="C69" s="49"/>
      <c r="F69" s="363" t="s">
        <v>548</v>
      </c>
      <c r="H69" s="377"/>
    </row>
    <row r="70" spans="3:10" x14ac:dyDescent="0.25">
      <c r="C70" s="7" t="s">
        <v>1392</v>
      </c>
      <c r="F70" s="365" t="e">
        <f>F35/$F$44%</f>
        <v>#DIV/0!</v>
      </c>
      <c r="H70" s="377"/>
    </row>
    <row r="71" spans="3:10" ht="13" x14ac:dyDescent="0.3">
      <c r="C71" s="49"/>
      <c r="F71" s="377" t="str">
        <f>_Z18</f>
        <v/>
      </c>
      <c r="H71" s="377"/>
      <c r="I71" s="368"/>
      <c r="J71" s="378" t="s">
        <v>1393</v>
      </c>
    </row>
    <row r="72" spans="3:10" ht="13" x14ac:dyDescent="0.3">
      <c r="C72" s="49"/>
      <c r="F72" s="377" t="e">
        <f>F70-F71</f>
        <v>#DIV/0!</v>
      </c>
      <c r="H72" s="377"/>
    </row>
    <row r="73" spans="3:10" x14ac:dyDescent="0.25">
      <c r="F73" s="13"/>
      <c r="H73" s="365"/>
    </row>
  </sheetData>
  <sheetProtection password="92CE" sheet="1"/>
  <pageMargins left="0.75" right="0.27559055118110237" top="0.42" bottom="0" header="0.67" footer="0.51181102362204722"/>
  <pageSetup paperSize="9" scale="91"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1">
    <pageSetUpPr fitToPage="1"/>
  </sheetPr>
  <dimension ref="A1:N60"/>
  <sheetViews>
    <sheetView showGridLines="0" workbookViewId="0">
      <selection activeCell="L23" sqref="L23"/>
    </sheetView>
  </sheetViews>
  <sheetFormatPr baseColWidth="10" defaultColWidth="11.453125" defaultRowHeight="12.5" x14ac:dyDescent="0.25"/>
  <cols>
    <col min="1" max="1" width="4" customWidth="1"/>
    <col min="2" max="2" width="3.7265625" customWidth="1"/>
    <col min="3" max="3" width="35.7265625" customWidth="1"/>
    <col min="4" max="4" width="2.81640625" customWidth="1"/>
    <col min="5" max="5" width="7.26953125" customWidth="1"/>
    <col min="6" max="6" width="2.81640625" customWidth="1"/>
    <col min="7" max="8" width="12.81640625" style="66" customWidth="1"/>
    <col min="9" max="9" width="1" style="66" customWidth="1"/>
    <col min="10" max="10" width="8.81640625" customWidth="1"/>
    <col min="11" max="11" width="1.1796875" customWidth="1"/>
    <col min="12" max="12" width="11.54296875" customWidth="1"/>
    <col min="13" max="14" width="1.453125" customWidth="1"/>
  </cols>
  <sheetData>
    <row r="1" spans="1:12" ht="21" customHeight="1" x14ac:dyDescent="0.25">
      <c r="A1" s="14"/>
    </row>
    <row r="2" spans="1:12" ht="18" x14ac:dyDescent="0.4">
      <c r="B2" s="82" t="str">
        <f>"Verwaltungskostensätze für "&amp;_JAHR</f>
        <v>Verwaltungskostensätze für 2022</v>
      </c>
      <c r="D2" s="14"/>
      <c r="E2" s="14"/>
      <c r="F2" s="14"/>
    </row>
    <row r="3" spans="1:12" ht="12" customHeight="1" x14ac:dyDescent="0.4">
      <c r="B3" s="82"/>
      <c r="C3" s="14"/>
    </row>
    <row r="4" spans="1:12" ht="28.15" customHeight="1" x14ac:dyDescent="0.35">
      <c r="B4" s="226"/>
      <c r="C4" s="124"/>
    </row>
    <row r="5" spans="1:12" ht="6" customHeight="1" x14ac:dyDescent="0.35">
      <c r="B5" s="2"/>
      <c r="E5" s="63"/>
      <c r="G5" s="243"/>
      <c r="H5" s="243"/>
      <c r="J5" s="63"/>
      <c r="L5" s="63"/>
    </row>
    <row r="6" spans="1:12" ht="15.5" x14ac:dyDescent="0.35">
      <c r="C6" s="2" t="s">
        <v>1394</v>
      </c>
      <c r="E6" s="360" t="s">
        <v>1395</v>
      </c>
      <c r="G6" s="360" t="s">
        <v>1396</v>
      </c>
      <c r="H6" s="360" t="s">
        <v>1397</v>
      </c>
      <c r="I6" s="360"/>
      <c r="J6" s="361"/>
      <c r="K6" s="64"/>
      <c r="L6" s="5" t="s">
        <v>197</v>
      </c>
    </row>
    <row r="7" spans="1:12" ht="6" customHeight="1" x14ac:dyDescent="0.3">
      <c r="B7" s="124"/>
      <c r="C7" s="124"/>
      <c r="D7" s="124"/>
      <c r="E7" s="124"/>
      <c r="F7" s="124"/>
      <c r="G7" s="362"/>
      <c r="H7" s="362"/>
      <c r="I7" s="360"/>
      <c r="J7" s="363"/>
      <c r="K7" s="64"/>
      <c r="L7" s="124"/>
    </row>
    <row r="9" spans="1:12" x14ac:dyDescent="0.25">
      <c r="C9" s="9" t="s">
        <v>1398</v>
      </c>
    </row>
    <row r="10" spans="1:12" x14ac:dyDescent="0.25">
      <c r="C10" s="7" t="s">
        <v>1399</v>
      </c>
      <c r="E10">
        <v>1</v>
      </c>
      <c r="G10">
        <f>_EE01</f>
        <v>0</v>
      </c>
      <c r="H10" s="230">
        <f>G10/E10</f>
        <v>0</v>
      </c>
      <c r="L10" s="7" t="s">
        <v>1400</v>
      </c>
    </row>
    <row r="11" spans="1:12" x14ac:dyDescent="0.25">
      <c r="C11" s="7" t="s">
        <v>1401</v>
      </c>
      <c r="E11">
        <v>7</v>
      </c>
      <c r="G11">
        <f>_EE02</f>
        <v>0</v>
      </c>
      <c r="H11" s="230">
        <f>G11/E11</f>
        <v>0</v>
      </c>
      <c r="L11" s="7" t="s">
        <v>1402</v>
      </c>
    </row>
    <row r="12" spans="1:12" x14ac:dyDescent="0.25">
      <c r="C12" s="7" t="s">
        <v>1403</v>
      </c>
      <c r="E12">
        <v>1</v>
      </c>
      <c r="G12">
        <f>_EE03</f>
        <v>0</v>
      </c>
      <c r="H12" s="230">
        <f>G12/E12</f>
        <v>0</v>
      </c>
      <c r="L12" s="7" t="s">
        <v>1404</v>
      </c>
    </row>
    <row r="13" spans="1:12" x14ac:dyDescent="0.25">
      <c r="C13" s="7" t="s">
        <v>1405</v>
      </c>
      <c r="E13">
        <v>12</v>
      </c>
      <c r="G13">
        <f>_EE04</f>
        <v>0</v>
      </c>
      <c r="H13" s="231">
        <f>G13/E13</f>
        <v>0</v>
      </c>
      <c r="L13" s="7" t="s">
        <v>1406</v>
      </c>
    </row>
    <row r="14" spans="1:12" ht="13" x14ac:dyDescent="0.3">
      <c r="C14" s="1" t="s">
        <v>1407</v>
      </c>
      <c r="G14"/>
      <c r="H14" s="380">
        <f>SUM(H10:H13)</f>
        <v>0</v>
      </c>
    </row>
    <row r="15" spans="1:12" ht="24" customHeight="1" x14ac:dyDescent="0.25">
      <c r="C15" s="9" t="s">
        <v>1408</v>
      </c>
      <c r="G15"/>
      <c r="H15" s="230"/>
    </row>
    <row r="16" spans="1:12" x14ac:dyDescent="0.25">
      <c r="C16" s="7" t="s">
        <v>1409</v>
      </c>
      <c r="E16">
        <v>1</v>
      </c>
      <c r="G16">
        <f>_VE01</f>
        <v>0</v>
      </c>
      <c r="H16" s="230">
        <f>G16/E16</f>
        <v>0</v>
      </c>
      <c r="L16" s="7" t="s">
        <v>1410</v>
      </c>
    </row>
    <row r="17" spans="3:14" x14ac:dyDescent="0.25">
      <c r="C17" s="7" t="s">
        <v>1401</v>
      </c>
      <c r="E17">
        <v>7</v>
      </c>
      <c r="G17">
        <f>_VE02</f>
        <v>0</v>
      </c>
      <c r="H17" s="230">
        <f>G17/E17</f>
        <v>0</v>
      </c>
      <c r="L17" s="7" t="s">
        <v>1411</v>
      </c>
    </row>
    <row r="18" spans="3:14" x14ac:dyDescent="0.25">
      <c r="C18" s="7" t="s">
        <v>1403</v>
      </c>
      <c r="E18">
        <v>1</v>
      </c>
      <c r="G18">
        <f>_VE03</f>
        <v>0</v>
      </c>
      <c r="H18" s="230">
        <f>G18/E18</f>
        <v>0</v>
      </c>
      <c r="L18" s="7" t="s">
        <v>1412</v>
      </c>
    </row>
    <row r="19" spans="3:14" x14ac:dyDescent="0.25">
      <c r="C19" s="7" t="s">
        <v>1405</v>
      </c>
      <c r="E19">
        <v>12</v>
      </c>
      <c r="G19">
        <f>_VE04</f>
        <v>0</v>
      </c>
      <c r="H19" s="231">
        <f>G19/E19</f>
        <v>0</v>
      </c>
      <c r="L19" s="7" t="s">
        <v>1413</v>
      </c>
    </row>
    <row r="20" spans="3:14" ht="13" x14ac:dyDescent="0.3">
      <c r="C20" s="1" t="s">
        <v>1414</v>
      </c>
      <c r="G20"/>
      <c r="H20" s="380">
        <f>SUM(H16:H19)</f>
        <v>0</v>
      </c>
    </row>
    <row r="21" spans="3:14" ht="24" customHeight="1" thickBot="1" x14ac:dyDescent="0.35">
      <c r="C21" s="1" t="s">
        <v>1415</v>
      </c>
      <c r="G21"/>
      <c r="H21" s="381">
        <f>H14+H20</f>
        <v>0</v>
      </c>
    </row>
    <row r="22" spans="3:14" ht="13" thickTop="1" x14ac:dyDescent="0.25">
      <c r="C22" s="7"/>
      <c r="G22"/>
      <c r="H22" s="230"/>
    </row>
    <row r="23" spans="3:14" x14ac:dyDescent="0.25">
      <c r="C23" s="7"/>
      <c r="G23"/>
      <c r="H23" s="230"/>
    </row>
    <row r="24" spans="3:14" x14ac:dyDescent="0.25">
      <c r="C24" s="7"/>
      <c r="G24"/>
      <c r="H24" s="230"/>
    </row>
    <row r="25" spans="3:14" x14ac:dyDescent="0.25">
      <c r="C25" s="7"/>
      <c r="G25"/>
      <c r="H25" s="230"/>
    </row>
    <row r="26" spans="3:14" ht="6" customHeight="1" x14ac:dyDescent="0.25">
      <c r="C26" s="7"/>
      <c r="E26" s="370"/>
      <c r="G26" s="243"/>
      <c r="H26" s="243"/>
    </row>
    <row r="27" spans="3:14" x14ac:dyDescent="0.25">
      <c r="C27" s="7"/>
      <c r="E27" s="382" t="s">
        <v>1397</v>
      </c>
      <c r="G27" s="382" t="s">
        <v>196</v>
      </c>
      <c r="H27" s="382"/>
    </row>
    <row r="28" spans="3:14" ht="6" customHeight="1" x14ac:dyDescent="0.3">
      <c r="C28" s="7"/>
      <c r="E28" s="383"/>
      <c r="G28" s="362"/>
      <c r="H28" s="362"/>
    </row>
    <row r="29" spans="3:14" x14ac:dyDescent="0.25">
      <c r="C29" s="7" t="s">
        <v>1416</v>
      </c>
      <c r="G29" s="230">
        <f>_BA14</f>
        <v>0</v>
      </c>
      <c r="H29"/>
      <c r="I29" s="230"/>
      <c r="J29" s="365"/>
      <c r="L29" s="7" t="s">
        <v>1374</v>
      </c>
    </row>
    <row r="30" spans="3:14" x14ac:dyDescent="0.25">
      <c r="C30" s="7" t="s">
        <v>1417</v>
      </c>
      <c r="G30" s="231">
        <f>_BA15</f>
        <v>0</v>
      </c>
      <c r="H30" s="230"/>
      <c r="I30" s="230"/>
      <c r="L30" s="7" t="s">
        <v>1418</v>
      </c>
    </row>
    <row r="31" spans="3:14" x14ac:dyDescent="0.25">
      <c r="G31" s="230">
        <f>SUM(G29:G30)</f>
        <v>0</v>
      </c>
      <c r="H31" s="230"/>
      <c r="I31" s="230"/>
    </row>
    <row r="32" spans="3:14" ht="13" x14ac:dyDescent="0.3">
      <c r="C32" s="1" t="s">
        <v>1419</v>
      </c>
      <c r="E32" s="384">
        <f>H21</f>
        <v>0</v>
      </c>
      <c r="F32" s="124"/>
      <c r="G32" s="227"/>
      <c r="H32" s="385" t="e">
        <f>G31/E32</f>
        <v>#DIV/0!</v>
      </c>
      <c r="I32" s="230"/>
      <c r="N32" s="1"/>
    </row>
    <row r="33" spans="3:12" ht="13" x14ac:dyDescent="0.3">
      <c r="C33" s="49" t="s">
        <v>1003</v>
      </c>
      <c r="H33" s="386" t="str">
        <f>_Z23</f>
        <v/>
      </c>
      <c r="J33" s="377"/>
      <c r="K33" s="368"/>
      <c r="L33" s="378" t="s">
        <v>1420</v>
      </c>
    </row>
    <row r="34" spans="3:12" ht="13" x14ac:dyDescent="0.3">
      <c r="C34" s="49" t="s">
        <v>1005</v>
      </c>
      <c r="H34" s="379" t="e">
        <f>H32-H33</f>
        <v>#DIV/0!</v>
      </c>
      <c r="J34" s="377"/>
    </row>
    <row r="35" spans="3:12" ht="6.65" customHeight="1" x14ac:dyDescent="0.3">
      <c r="C35" s="49"/>
      <c r="E35" s="66"/>
      <c r="H35" s="371"/>
      <c r="J35" s="377"/>
    </row>
    <row r="36" spans="3:12" ht="13" x14ac:dyDescent="0.3">
      <c r="C36" s="49"/>
      <c r="E36" s="382" t="s">
        <v>196</v>
      </c>
      <c r="J36" s="377"/>
    </row>
    <row r="37" spans="3:12" ht="6" customHeight="1" x14ac:dyDescent="0.3">
      <c r="C37" s="49"/>
      <c r="E37" s="362"/>
      <c r="J37" s="377"/>
    </row>
    <row r="38" spans="3:12" x14ac:dyDescent="0.25">
      <c r="C38" s="7" t="s">
        <v>1421</v>
      </c>
      <c r="H38" s="230">
        <f>_BA14</f>
        <v>0</v>
      </c>
      <c r="I38" s="230"/>
      <c r="J38" s="365"/>
      <c r="L38" s="7" t="s">
        <v>1374</v>
      </c>
    </row>
    <row r="39" spans="3:12" x14ac:dyDescent="0.25">
      <c r="C39" s="7" t="s">
        <v>585</v>
      </c>
      <c r="G39" s="230">
        <f>_UE01</f>
        <v>0</v>
      </c>
      <c r="L39" t="s">
        <v>1381</v>
      </c>
    </row>
    <row r="40" spans="3:12" x14ac:dyDescent="0.25">
      <c r="C40" s="7" t="s">
        <v>1422</v>
      </c>
      <c r="G40" s="230">
        <f>_UE03</f>
        <v>0</v>
      </c>
      <c r="L40" t="s">
        <v>1382</v>
      </c>
    </row>
    <row r="41" spans="3:12" x14ac:dyDescent="0.25">
      <c r="C41" s="7" t="s">
        <v>1423</v>
      </c>
      <c r="G41" s="230">
        <f>-_ES11</f>
        <v>0</v>
      </c>
      <c r="L41" t="s">
        <v>1424</v>
      </c>
    </row>
    <row r="42" spans="3:12" x14ac:dyDescent="0.25">
      <c r="C42" s="7" t="s">
        <v>1425</v>
      </c>
      <c r="G42" s="231">
        <f>-_ES12</f>
        <v>0</v>
      </c>
      <c r="L42" t="s">
        <v>1426</v>
      </c>
    </row>
    <row r="43" spans="3:12" x14ac:dyDescent="0.25">
      <c r="G43" s="230"/>
      <c r="H43" s="384">
        <f>SUM(G39:G42)</f>
        <v>0</v>
      </c>
    </row>
    <row r="44" spans="3:12" ht="13" x14ac:dyDescent="0.3">
      <c r="C44" s="1" t="s">
        <v>1427</v>
      </c>
      <c r="H44" s="387" t="e">
        <f>H38/H43%</f>
        <v>#DIV/0!</v>
      </c>
      <c r="J44" s="377"/>
      <c r="K44" s="368"/>
      <c r="L44" s="378"/>
    </row>
    <row r="45" spans="3:12" x14ac:dyDescent="0.25">
      <c r="H45" s="379" t="str">
        <f>IF(_TEIL="I und II",(_BA14)/(_UE01+_UE03-_ES11-_ES12)*100,"")</f>
        <v/>
      </c>
      <c r="J45" s="377"/>
      <c r="L45" s="378" t="s">
        <v>1428</v>
      </c>
    </row>
    <row r="46" spans="3:12" x14ac:dyDescent="0.25">
      <c r="H46" s="379" t="e">
        <f>H44-H45</f>
        <v>#DIV/0!</v>
      </c>
    </row>
    <row r="50" spans="3:12" x14ac:dyDescent="0.25">
      <c r="C50" s="7" t="s">
        <v>1421</v>
      </c>
      <c r="H50" s="230">
        <f>_BA14</f>
        <v>0</v>
      </c>
      <c r="I50" s="230"/>
      <c r="J50" s="365"/>
      <c r="L50" s="7" t="s">
        <v>1374</v>
      </c>
    </row>
    <row r="51" spans="3:12" x14ac:dyDescent="0.25">
      <c r="C51" s="7" t="s">
        <v>1429</v>
      </c>
      <c r="H51" s="231">
        <f>_BA15</f>
        <v>0</v>
      </c>
      <c r="I51" s="230"/>
      <c r="J51" s="365"/>
      <c r="L51" s="7" t="s">
        <v>1418</v>
      </c>
    </row>
    <row r="52" spans="3:12" x14ac:dyDescent="0.25">
      <c r="C52" s="7"/>
      <c r="H52" s="230">
        <f>SUM(H50:H51)</f>
        <v>0</v>
      </c>
      <c r="I52" s="230"/>
      <c r="J52" s="365"/>
      <c r="L52" s="7"/>
    </row>
    <row r="53" spans="3:12" x14ac:dyDescent="0.25">
      <c r="C53" s="7" t="s">
        <v>1430</v>
      </c>
      <c r="G53" s="230">
        <f>_UE10</f>
        <v>0</v>
      </c>
      <c r="L53" s="7" t="s">
        <v>1342</v>
      </c>
    </row>
    <row r="54" spans="3:12" x14ac:dyDescent="0.25">
      <c r="C54" s="7" t="s">
        <v>1431</v>
      </c>
      <c r="G54" s="230">
        <f>_UE20</f>
        <v>0</v>
      </c>
      <c r="L54" s="7" t="s">
        <v>252</v>
      </c>
    </row>
    <row r="55" spans="3:12" x14ac:dyDescent="0.25">
      <c r="C55" s="7" t="s">
        <v>1432</v>
      </c>
      <c r="G55" s="230">
        <f>_UE30</f>
        <v>0</v>
      </c>
      <c r="L55" s="7" t="s">
        <v>254</v>
      </c>
    </row>
    <row r="56" spans="3:12" x14ac:dyDescent="0.25">
      <c r="C56" s="7" t="s">
        <v>1433</v>
      </c>
      <c r="G56" s="231">
        <f>_UE40</f>
        <v>0</v>
      </c>
      <c r="L56" s="7" t="s">
        <v>256</v>
      </c>
    </row>
    <row r="57" spans="3:12" x14ac:dyDescent="0.25">
      <c r="G57" s="230"/>
      <c r="H57" s="384">
        <f>SUM(G53:G56)</f>
        <v>0</v>
      </c>
    </row>
    <row r="58" spans="3:12" ht="13" x14ac:dyDescent="0.3">
      <c r="C58" s="1" t="s">
        <v>1427</v>
      </c>
      <c r="H58" s="387" t="e">
        <f>H52/H57%</f>
        <v>#DIV/0!</v>
      </c>
      <c r="J58" s="377"/>
      <c r="K58" s="368"/>
      <c r="L58" s="378"/>
    </row>
    <row r="59" spans="3:12" x14ac:dyDescent="0.25">
      <c r="H59" s="379" t="str">
        <f>IF(_TEIL="I und II",(_BA14+_BA15)/(_UE10+_UE20+_UE30+_UE40)*100,"")</f>
        <v/>
      </c>
      <c r="J59" s="377"/>
      <c r="L59" s="378" t="s">
        <v>1434</v>
      </c>
    </row>
    <row r="60" spans="3:12" x14ac:dyDescent="0.25">
      <c r="H60" s="379" t="e">
        <f>H58-H59</f>
        <v>#DIV/0!</v>
      </c>
    </row>
  </sheetData>
  <sheetProtection password="92CE" sheet="1"/>
  <pageMargins left="0.75" right="0.27559055118110237" top="0.42" bottom="0" header="0.67" footer="0.51181102362204722"/>
  <pageSetup paperSize="9" scale="89"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5"/>
  <dimension ref="A1:E257"/>
  <sheetViews>
    <sheetView topLeftCell="A241" workbookViewId="0">
      <selection activeCell="I261" sqref="I261"/>
    </sheetView>
  </sheetViews>
  <sheetFormatPr baseColWidth="10" defaultRowHeight="12.5" x14ac:dyDescent="0.25"/>
  <cols>
    <col min="1" max="1" width="6.7265625" customWidth="1"/>
    <col min="2" max="2" width="9.453125" customWidth="1"/>
    <col min="3" max="3" width="8.26953125" customWidth="1"/>
    <col min="4" max="4" width="14.7265625" customWidth="1"/>
  </cols>
  <sheetData>
    <row r="1" spans="1:4" ht="15.5" x14ac:dyDescent="0.35">
      <c r="A1" s="2" t="s">
        <v>529</v>
      </c>
    </row>
    <row r="3" spans="1:4" ht="13" x14ac:dyDescent="0.3">
      <c r="A3" s="6" t="s">
        <v>363</v>
      </c>
      <c r="B3" s="17" t="s">
        <v>464</v>
      </c>
      <c r="C3" s="6" t="s">
        <v>465</v>
      </c>
      <c r="D3" s="6" t="s">
        <v>466</v>
      </c>
    </row>
    <row r="4" spans="1:4" x14ac:dyDescent="0.25">
      <c r="A4" s="7">
        <f>_JAHR</f>
        <v>2022</v>
      </c>
      <c r="B4" s="7">
        <f>_UKZ</f>
        <v>0</v>
      </c>
      <c r="C4" s="7" t="s">
        <v>823</v>
      </c>
      <c r="D4" s="7" t="str">
        <f>IF(ISBLANK(_NAME),"",_NAME)</f>
        <v/>
      </c>
    </row>
    <row r="5" spans="1:4" x14ac:dyDescent="0.25">
      <c r="A5" s="7">
        <f t="shared" ref="A5:A64" si="0">_JAHR</f>
        <v>2022</v>
      </c>
      <c r="B5" s="7">
        <f t="shared" ref="B5:B64" si="1">_UKZ</f>
        <v>0</v>
      </c>
      <c r="C5" s="7" t="s">
        <v>824</v>
      </c>
      <c r="D5" s="7" t="str">
        <f>IF(ISBLANK(_ABDT),"",_ABDT)</f>
        <v>31.12.2022</v>
      </c>
    </row>
    <row r="6" spans="1:4" x14ac:dyDescent="0.25">
      <c r="A6" s="7">
        <f t="shared" si="0"/>
        <v>2022</v>
      </c>
      <c r="B6" s="7">
        <f t="shared" si="1"/>
        <v>0</v>
      </c>
      <c r="C6" s="7" t="s">
        <v>825</v>
      </c>
      <c r="D6" s="7" t="str">
        <f>IF(ISBLANK(_BEAU),"",_BEAU)</f>
        <v/>
      </c>
    </row>
    <row r="7" spans="1:4" x14ac:dyDescent="0.25">
      <c r="A7" s="7">
        <f t="shared" si="0"/>
        <v>2022</v>
      </c>
      <c r="B7" s="7">
        <f t="shared" si="1"/>
        <v>0</v>
      </c>
      <c r="C7" s="7" t="s">
        <v>826</v>
      </c>
      <c r="D7" s="7" t="str">
        <f>IF(ISBLANK(_BEAV),"",_BEAV)</f>
        <v>Iris Richardt</v>
      </c>
    </row>
    <row r="8" spans="1:4" x14ac:dyDescent="0.25">
      <c r="A8" s="7">
        <f t="shared" si="0"/>
        <v>2022</v>
      </c>
      <c r="B8" s="7">
        <f t="shared" si="1"/>
        <v>0</v>
      </c>
      <c r="C8" s="7" t="s">
        <v>827</v>
      </c>
      <c r="D8" s="7" t="str">
        <f>IF(ISBLANK(_TBAU),"",_TBAU)</f>
        <v/>
      </c>
    </row>
    <row r="9" spans="1:4" x14ac:dyDescent="0.25">
      <c r="A9" s="7">
        <f t="shared" si="0"/>
        <v>2022</v>
      </c>
      <c r="B9" s="7">
        <f t="shared" si="1"/>
        <v>0</v>
      </c>
      <c r="C9" s="7" t="s">
        <v>828</v>
      </c>
      <c r="D9" s="7" t="str">
        <f>IF(ISBLANK(_TBAV),"",_TBAV)</f>
        <v>0361 34010 217</v>
      </c>
    </row>
    <row r="10" spans="1:4" x14ac:dyDescent="0.25">
      <c r="A10" s="7">
        <f t="shared" si="0"/>
        <v>2022</v>
      </c>
      <c r="B10" s="7">
        <f t="shared" si="1"/>
        <v>0</v>
      </c>
      <c r="C10" s="7" t="s">
        <v>1121</v>
      </c>
      <c r="D10" s="7">
        <f>IF(ISBLANK(_WAEH),"",_WAEH)</f>
        <v>1</v>
      </c>
    </row>
    <row r="11" spans="1:4" x14ac:dyDescent="0.25">
      <c r="A11" s="7">
        <f t="shared" si="0"/>
        <v>2022</v>
      </c>
      <c r="B11" s="7">
        <f t="shared" si="1"/>
        <v>0</v>
      </c>
      <c r="C11" s="7" t="s">
        <v>829</v>
      </c>
      <c r="D11" s="7" t="str">
        <f>IF(ISBLANK(_REFO),"",_REFO)</f>
        <v/>
      </c>
    </row>
    <row r="12" spans="1:4" x14ac:dyDescent="0.25">
      <c r="A12" s="7">
        <f t="shared" si="0"/>
        <v>2022</v>
      </c>
      <c r="B12" s="7">
        <f t="shared" si="1"/>
        <v>0</v>
      </c>
      <c r="C12" s="7" t="s">
        <v>830</v>
      </c>
      <c r="D12" s="7">
        <f>IF(ISBLANK(_EINH),"",_EINH)</f>
        <v>0</v>
      </c>
    </row>
    <row r="13" spans="1:4" x14ac:dyDescent="0.25">
      <c r="A13" s="7">
        <f t="shared" si="0"/>
        <v>2022</v>
      </c>
      <c r="B13" s="7">
        <f t="shared" si="1"/>
        <v>0</v>
      </c>
      <c r="C13" s="7" t="s">
        <v>831</v>
      </c>
      <c r="D13" s="7">
        <f>IF(ISBLANK(_AUSD),"",_AUSD)</f>
        <v>1</v>
      </c>
    </row>
    <row r="14" spans="1:4" x14ac:dyDescent="0.25">
      <c r="A14" s="7">
        <f t="shared" si="0"/>
        <v>2022</v>
      </c>
      <c r="B14" s="7">
        <f t="shared" si="1"/>
        <v>0</v>
      </c>
      <c r="C14" s="7" t="s">
        <v>832</v>
      </c>
      <c r="D14" s="7">
        <f>IF(ISBLANK(_TEAB),"",_TEAB)</f>
        <v>1</v>
      </c>
    </row>
    <row r="15" spans="1:4" x14ac:dyDescent="0.25">
      <c r="A15" s="7">
        <f t="shared" si="0"/>
        <v>2022</v>
      </c>
      <c r="B15" s="7">
        <f t="shared" si="1"/>
        <v>0</v>
      </c>
      <c r="C15" s="7" t="s">
        <v>833</v>
      </c>
      <c r="D15" s="7" t="str">
        <f>IF(ISBLANK(_REGI),"",_REGI)</f>
        <v/>
      </c>
    </row>
    <row r="16" spans="1:4" x14ac:dyDescent="0.25">
      <c r="A16" s="7">
        <f t="shared" si="0"/>
        <v>2022</v>
      </c>
      <c r="B16" s="7">
        <f t="shared" si="1"/>
        <v>0</v>
      </c>
      <c r="C16" s="7" t="s">
        <v>834</v>
      </c>
      <c r="D16" s="7" t="str">
        <f>IF(ISBLANK(_BAUT),"",_BAUT)</f>
        <v/>
      </c>
    </row>
    <row r="17" spans="1:4" x14ac:dyDescent="0.25">
      <c r="A17" s="7">
        <f t="shared" si="0"/>
        <v>2022</v>
      </c>
      <c r="B17" s="7">
        <f t="shared" si="1"/>
        <v>0</v>
      </c>
      <c r="C17" s="7" t="s">
        <v>835</v>
      </c>
      <c r="D17" s="7">
        <f>IF(ISBLANK(_BAUB),"",_BAUB)</f>
        <v>1</v>
      </c>
    </row>
    <row r="18" spans="1:4" x14ac:dyDescent="0.25">
      <c r="A18" s="7">
        <f t="shared" si="0"/>
        <v>2022</v>
      </c>
      <c r="B18" s="7">
        <f t="shared" si="1"/>
        <v>0</v>
      </c>
      <c r="C18" s="7" t="s">
        <v>836</v>
      </c>
      <c r="D18" s="7" t="str">
        <f>IF(ISBLANK(_PERS),"",_PERS)</f>
        <v/>
      </c>
    </row>
    <row r="19" spans="1:4" x14ac:dyDescent="0.25">
      <c r="A19" s="7">
        <f t="shared" si="0"/>
        <v>2022</v>
      </c>
      <c r="B19" s="7">
        <f t="shared" si="1"/>
        <v>0</v>
      </c>
      <c r="C19" s="7" t="s">
        <v>837</v>
      </c>
      <c r="D19" s="7" t="str">
        <f>IF(ISBLANK(_VERB),"",_VERB)</f>
        <v/>
      </c>
    </row>
    <row r="20" spans="1:4" x14ac:dyDescent="0.25">
      <c r="A20" s="7">
        <f t="shared" si="0"/>
        <v>2022</v>
      </c>
      <c r="B20" s="7">
        <f t="shared" si="1"/>
        <v>0</v>
      </c>
      <c r="C20" s="7" t="s">
        <v>556</v>
      </c>
      <c r="D20" s="7" t="str">
        <f>IF(ISBLANK(_PB01),"",_PB01)</f>
        <v/>
      </c>
    </row>
    <row r="21" spans="1:4" x14ac:dyDescent="0.25">
      <c r="A21" s="7">
        <f t="shared" si="0"/>
        <v>2022</v>
      </c>
      <c r="B21" s="7">
        <f t="shared" si="1"/>
        <v>0</v>
      </c>
      <c r="C21" s="7" t="s">
        <v>557</v>
      </c>
      <c r="D21" s="7" t="str">
        <f>IF(ISBLANK(_PB02),"",_PB02)</f>
        <v/>
      </c>
    </row>
    <row r="22" spans="1:4" x14ac:dyDescent="0.25">
      <c r="A22" s="7">
        <f t="shared" si="0"/>
        <v>2022</v>
      </c>
      <c r="B22" s="7">
        <f t="shared" si="1"/>
        <v>0</v>
      </c>
      <c r="C22" s="7" t="s">
        <v>558</v>
      </c>
      <c r="D22" s="7" t="str">
        <f>IF(ISBLANK(_PB03),"",_PB03)</f>
        <v/>
      </c>
    </row>
    <row r="23" spans="1:4" x14ac:dyDescent="0.25">
      <c r="A23" s="7">
        <f t="shared" si="0"/>
        <v>2022</v>
      </c>
      <c r="B23" s="7">
        <f t="shared" si="1"/>
        <v>0</v>
      </c>
      <c r="C23" s="7" t="s">
        <v>559</v>
      </c>
      <c r="D23" s="7" t="str">
        <f>IF(ISBLANK(_PB04),"",_PB04)</f>
        <v/>
      </c>
    </row>
    <row r="24" spans="1:4" x14ac:dyDescent="0.25">
      <c r="A24" s="7">
        <f t="shared" si="0"/>
        <v>2022</v>
      </c>
      <c r="B24" s="7">
        <f t="shared" si="1"/>
        <v>0</v>
      </c>
      <c r="C24" s="7" t="s">
        <v>560</v>
      </c>
      <c r="D24" s="7" t="str">
        <f>IF(ISBLANK(_PB05),"",_PB05)</f>
        <v/>
      </c>
    </row>
    <row r="25" spans="1:4" x14ac:dyDescent="0.25">
      <c r="A25" s="7">
        <f t="shared" si="0"/>
        <v>2022</v>
      </c>
      <c r="B25" s="7">
        <f t="shared" si="1"/>
        <v>0</v>
      </c>
      <c r="C25" s="7" t="s">
        <v>561</v>
      </c>
      <c r="D25" s="7" t="str">
        <f>IF(ISBLANK(_PB06),"",_PB06)</f>
        <v/>
      </c>
    </row>
    <row r="26" spans="1:4" x14ac:dyDescent="0.25">
      <c r="A26" s="7">
        <f t="shared" si="0"/>
        <v>2022</v>
      </c>
      <c r="B26" s="7">
        <f t="shared" si="1"/>
        <v>0</v>
      </c>
      <c r="C26" s="7" t="s">
        <v>562</v>
      </c>
      <c r="D26" s="7">
        <f>IF(ISBLANK(_PB10),"",_PB10)</f>
        <v>0</v>
      </c>
    </row>
    <row r="27" spans="1:4" x14ac:dyDescent="0.25">
      <c r="A27" s="7">
        <f t="shared" si="0"/>
        <v>2022</v>
      </c>
      <c r="B27" s="7">
        <f t="shared" si="1"/>
        <v>0</v>
      </c>
      <c r="C27" s="7" t="s">
        <v>364</v>
      </c>
      <c r="D27" s="7" t="str">
        <f>IF(ISBLANK(_PB30),"",_PB30)</f>
        <v/>
      </c>
    </row>
    <row r="28" spans="1:4" x14ac:dyDescent="0.25">
      <c r="A28" s="7">
        <f t="shared" si="0"/>
        <v>2022</v>
      </c>
      <c r="B28" s="7">
        <f t="shared" si="1"/>
        <v>0</v>
      </c>
      <c r="C28" s="7" t="s">
        <v>365</v>
      </c>
      <c r="D28" s="7" t="str">
        <f>IF(ISBLANK(_EE01),"",_EE01)</f>
        <v/>
      </c>
    </row>
    <row r="29" spans="1:4" x14ac:dyDescent="0.25">
      <c r="A29" s="7">
        <f t="shared" si="0"/>
        <v>2022</v>
      </c>
      <c r="B29" s="7">
        <f t="shared" si="1"/>
        <v>0</v>
      </c>
      <c r="C29" s="7" t="s">
        <v>366</v>
      </c>
      <c r="D29" s="7" t="str">
        <f>IF(ISBLANK(_EE02),"",_EE02)</f>
        <v/>
      </c>
    </row>
    <row r="30" spans="1:4" x14ac:dyDescent="0.25">
      <c r="A30" s="7">
        <f t="shared" si="0"/>
        <v>2022</v>
      </c>
      <c r="B30" s="7">
        <f t="shared" si="1"/>
        <v>0</v>
      </c>
      <c r="C30" s="7" t="s">
        <v>367</v>
      </c>
      <c r="D30" s="7" t="str">
        <f>IF(ISBLANK(_EE03),"",_EE03)</f>
        <v/>
      </c>
    </row>
    <row r="31" spans="1:4" x14ac:dyDescent="0.25">
      <c r="A31" s="7">
        <f t="shared" si="0"/>
        <v>2022</v>
      </c>
      <c r="B31" s="7">
        <f t="shared" si="1"/>
        <v>0</v>
      </c>
      <c r="C31" s="7" t="s">
        <v>1115</v>
      </c>
      <c r="D31" s="7" t="str">
        <f>IF(ISBLANK(_EE04),"",_EE04)</f>
        <v/>
      </c>
    </row>
    <row r="32" spans="1:4" x14ac:dyDescent="0.25">
      <c r="A32" s="7">
        <f t="shared" si="0"/>
        <v>2022</v>
      </c>
      <c r="B32" s="7">
        <f t="shared" si="1"/>
        <v>0</v>
      </c>
      <c r="C32" s="7" t="s">
        <v>368</v>
      </c>
      <c r="D32" s="7" t="str">
        <f>IF(ISBLANK(_PE01),"",_PE01)</f>
        <v/>
      </c>
    </row>
    <row r="33" spans="1:4" x14ac:dyDescent="0.25">
      <c r="A33" s="7">
        <f t="shared" si="0"/>
        <v>2022</v>
      </c>
      <c r="B33" s="7">
        <f t="shared" si="1"/>
        <v>0</v>
      </c>
      <c r="C33" s="7" t="s">
        <v>369</v>
      </c>
      <c r="D33" s="7" t="str">
        <f>IF(ISBLANK(_PE02),"",_PE02)</f>
        <v/>
      </c>
    </row>
    <row r="34" spans="1:4" x14ac:dyDescent="0.25">
      <c r="A34" s="7">
        <f t="shared" si="0"/>
        <v>2022</v>
      </c>
      <c r="B34" s="7">
        <f t="shared" si="1"/>
        <v>0</v>
      </c>
      <c r="C34" s="7" t="s">
        <v>370</v>
      </c>
      <c r="D34" s="7" t="str">
        <f>IF(ISBLANK(_PE03),"",_PE03)</f>
        <v/>
      </c>
    </row>
    <row r="35" spans="1:4" x14ac:dyDescent="0.25">
      <c r="A35" s="7">
        <f t="shared" si="0"/>
        <v>2022</v>
      </c>
      <c r="B35" s="7">
        <f t="shared" si="1"/>
        <v>0</v>
      </c>
      <c r="C35" s="7" t="s">
        <v>371</v>
      </c>
      <c r="D35" s="7" t="str">
        <f>IF(ISBLANK(_VE01),"",_VE01)</f>
        <v/>
      </c>
    </row>
    <row r="36" spans="1:4" x14ac:dyDescent="0.25">
      <c r="A36" s="7">
        <f t="shared" si="0"/>
        <v>2022</v>
      </c>
      <c r="B36" s="7">
        <f t="shared" si="1"/>
        <v>0</v>
      </c>
      <c r="C36" s="7" t="s">
        <v>372</v>
      </c>
      <c r="D36" s="7" t="str">
        <f>IF(ISBLANK(_VE02),"",_VE02)</f>
        <v/>
      </c>
    </row>
    <row r="37" spans="1:4" x14ac:dyDescent="0.25">
      <c r="A37" s="7">
        <f t="shared" si="0"/>
        <v>2022</v>
      </c>
      <c r="B37" s="7">
        <f t="shared" si="1"/>
        <v>0</v>
      </c>
      <c r="C37" s="7" t="s">
        <v>373</v>
      </c>
      <c r="D37" s="7" t="str">
        <f>IF(ISBLANK(_VE03),"",_VE03)</f>
        <v/>
      </c>
    </row>
    <row r="38" spans="1:4" x14ac:dyDescent="0.25">
      <c r="A38" s="7">
        <f t="shared" si="0"/>
        <v>2022</v>
      </c>
      <c r="B38" s="7">
        <f t="shared" si="1"/>
        <v>0</v>
      </c>
      <c r="C38" s="7" t="s">
        <v>1116</v>
      </c>
      <c r="D38" s="7" t="str">
        <f>IF(ISBLANK(_VE04),"",_VE04)</f>
        <v/>
      </c>
    </row>
    <row r="39" spans="1:4" x14ac:dyDescent="0.25">
      <c r="A39" s="7">
        <f t="shared" si="0"/>
        <v>2022</v>
      </c>
      <c r="B39" s="7">
        <f t="shared" si="1"/>
        <v>0</v>
      </c>
      <c r="C39" s="7" t="s">
        <v>374</v>
      </c>
      <c r="D39" s="7" t="str">
        <f>IF(ISBLANK(_FE10),"",_FE10)</f>
        <v/>
      </c>
    </row>
    <row r="40" spans="1:4" x14ac:dyDescent="0.25">
      <c r="A40" s="7">
        <f t="shared" si="0"/>
        <v>2022</v>
      </c>
      <c r="B40" s="7">
        <f t="shared" si="1"/>
        <v>0</v>
      </c>
      <c r="C40" s="7" t="s">
        <v>375</v>
      </c>
      <c r="D40" s="7" t="str">
        <f>IF(ISBLANK(_EN10),"",_EN10)</f>
        <v/>
      </c>
    </row>
    <row r="41" spans="1:4" x14ac:dyDescent="0.25">
      <c r="A41" s="7">
        <f t="shared" si="0"/>
        <v>2022</v>
      </c>
      <c r="B41" s="7">
        <f t="shared" si="1"/>
        <v>0</v>
      </c>
      <c r="C41" s="7" t="s">
        <v>376</v>
      </c>
      <c r="D41" s="7" t="str">
        <f>IF(ISBLANK(_IV10),"",_IV10)</f>
        <v/>
      </c>
    </row>
    <row r="42" spans="1:4" x14ac:dyDescent="0.25">
      <c r="A42" s="7">
        <f t="shared" si="0"/>
        <v>2022</v>
      </c>
      <c r="B42" s="7">
        <f t="shared" si="1"/>
        <v>0</v>
      </c>
      <c r="C42" s="7" t="s">
        <v>377</v>
      </c>
      <c r="D42" s="7" t="str">
        <f>IF(ISBLANK(_KA03),"",_KA03)</f>
        <v/>
      </c>
    </row>
    <row r="43" spans="1:4" x14ac:dyDescent="0.25">
      <c r="A43" s="7">
        <f t="shared" si="0"/>
        <v>2022</v>
      </c>
      <c r="B43" s="7">
        <f t="shared" si="1"/>
        <v>0</v>
      </c>
      <c r="C43" s="7" t="s">
        <v>378</v>
      </c>
      <c r="D43" s="7" t="str">
        <f>IF(ISBLANK(_KA04),"",_KA04)</f>
        <v/>
      </c>
    </row>
    <row r="44" spans="1:4" x14ac:dyDescent="0.25">
      <c r="A44" s="7">
        <f t="shared" si="0"/>
        <v>2022</v>
      </c>
      <c r="B44" s="7">
        <f t="shared" si="1"/>
        <v>0</v>
      </c>
      <c r="C44" s="7" t="s">
        <v>379</v>
      </c>
      <c r="D44" s="7" t="str">
        <f>IF(ISBLANK(_AV08),"",_AV08)</f>
        <v/>
      </c>
    </row>
    <row r="45" spans="1:4" x14ac:dyDescent="0.25">
      <c r="A45" s="7">
        <f t="shared" si="0"/>
        <v>2022</v>
      </c>
      <c r="B45" s="7">
        <f t="shared" si="1"/>
        <v>0</v>
      </c>
      <c r="C45" s="7" t="s">
        <v>380</v>
      </c>
      <c r="D45" s="7" t="str">
        <f>IF(ISBLANK(_AV11),"",_AV11)</f>
        <v/>
      </c>
    </row>
    <row r="46" spans="1:4" x14ac:dyDescent="0.25">
      <c r="A46" s="7">
        <f t="shared" si="0"/>
        <v>2022</v>
      </c>
      <c r="B46" s="7">
        <f t="shared" si="1"/>
        <v>0</v>
      </c>
      <c r="C46" s="7" t="s">
        <v>381</v>
      </c>
      <c r="D46" s="7" t="str">
        <f>IF(ISBLANK(_AK08),"",_AK08)</f>
        <v/>
      </c>
    </row>
    <row r="47" spans="1:4" x14ac:dyDescent="0.25">
      <c r="A47" s="7">
        <f t="shared" si="0"/>
        <v>2022</v>
      </c>
      <c r="B47" s="7">
        <f t="shared" si="1"/>
        <v>0</v>
      </c>
      <c r="C47" s="7" t="s">
        <v>382</v>
      </c>
      <c r="D47" s="7" t="str">
        <f>IF(ISBLANK(_KA07),"",_KA07)</f>
        <v/>
      </c>
    </row>
    <row r="48" spans="1:4" x14ac:dyDescent="0.25">
      <c r="A48" s="7">
        <f t="shared" si="0"/>
        <v>2022</v>
      </c>
      <c r="B48" s="7">
        <f t="shared" si="1"/>
        <v>0</v>
      </c>
      <c r="C48" s="7" t="s">
        <v>383</v>
      </c>
      <c r="D48" s="7" t="str">
        <f>IF(ISBLANK(_KA08),"",_KA08)</f>
        <v/>
      </c>
    </row>
    <row r="49" spans="1:4" x14ac:dyDescent="0.25">
      <c r="A49" s="7">
        <f t="shared" si="0"/>
        <v>2022</v>
      </c>
      <c r="B49" s="7">
        <f t="shared" si="1"/>
        <v>0</v>
      </c>
      <c r="C49" s="7" t="s">
        <v>384</v>
      </c>
      <c r="D49" s="7" t="str">
        <f>IF(ISBLANK(_AV09),"",_AV09)</f>
        <v/>
      </c>
    </row>
    <row r="50" spans="1:4" x14ac:dyDescent="0.25">
      <c r="A50" s="7">
        <f t="shared" si="0"/>
        <v>2022</v>
      </c>
      <c r="B50" s="7">
        <f t="shared" si="1"/>
        <v>0</v>
      </c>
      <c r="C50" s="7" t="s">
        <v>385</v>
      </c>
      <c r="D50" s="7" t="str">
        <f>IF(ISBLANK(_AV10),"",_AV10)</f>
        <v/>
      </c>
    </row>
    <row r="51" spans="1:4" x14ac:dyDescent="0.25">
      <c r="A51" s="7">
        <f t="shared" si="0"/>
        <v>2022</v>
      </c>
      <c r="B51" s="7">
        <f t="shared" si="1"/>
        <v>0</v>
      </c>
      <c r="C51" s="7" t="s">
        <v>386</v>
      </c>
      <c r="D51" s="7" t="str">
        <f>IF(ISBLANK(_UV10),"",_UV10)</f>
        <v/>
      </c>
    </row>
    <row r="52" spans="1:4" x14ac:dyDescent="0.25">
      <c r="A52" s="7">
        <f t="shared" si="0"/>
        <v>2022</v>
      </c>
      <c r="B52" s="7">
        <f t="shared" si="1"/>
        <v>0</v>
      </c>
      <c r="C52" s="7" t="s">
        <v>387</v>
      </c>
      <c r="D52" s="7" t="str">
        <f>IF(ISBLANK(_UV20),"",_UV20)</f>
        <v/>
      </c>
    </row>
    <row r="53" spans="1:4" x14ac:dyDescent="0.25">
      <c r="A53" s="7">
        <f t="shared" si="0"/>
        <v>2022</v>
      </c>
      <c r="B53" s="7">
        <f t="shared" si="1"/>
        <v>0</v>
      </c>
      <c r="C53" s="7" t="s">
        <v>388</v>
      </c>
      <c r="D53" s="7" t="str">
        <f>IF(ISBLANK(_BS10),"",_BS10)</f>
        <v/>
      </c>
    </row>
    <row r="54" spans="1:4" x14ac:dyDescent="0.25">
      <c r="A54" s="7">
        <f t="shared" si="0"/>
        <v>2022</v>
      </c>
      <c r="B54" s="7">
        <f t="shared" si="1"/>
        <v>0</v>
      </c>
      <c r="C54" s="7" t="s">
        <v>389</v>
      </c>
      <c r="D54" s="7" t="str">
        <f>IF(ISBLANK(_HK10),"",_HK10)</f>
        <v/>
      </c>
    </row>
    <row r="55" spans="1:4" x14ac:dyDescent="0.25">
      <c r="A55" s="7">
        <f t="shared" si="0"/>
        <v>2022</v>
      </c>
      <c r="B55" s="7">
        <f t="shared" si="1"/>
        <v>0</v>
      </c>
      <c r="C55" s="7" t="s">
        <v>390</v>
      </c>
      <c r="D55" s="7" t="str">
        <f>IF(ISBLANK(_EK09),"",_EK09)</f>
        <v/>
      </c>
    </row>
    <row r="56" spans="1:4" x14ac:dyDescent="0.25">
      <c r="A56" s="7">
        <f t="shared" si="0"/>
        <v>2022</v>
      </c>
      <c r="B56" s="7">
        <f t="shared" si="1"/>
        <v>0</v>
      </c>
      <c r="C56" s="7" t="s">
        <v>391</v>
      </c>
      <c r="D56" s="7" t="str">
        <f>IF(ISBLANK(_EK10),"",_EK10)</f>
        <v/>
      </c>
    </row>
    <row r="57" spans="1:4" x14ac:dyDescent="0.25">
      <c r="A57" s="7">
        <f t="shared" si="0"/>
        <v>2022</v>
      </c>
      <c r="B57" s="7">
        <f t="shared" si="1"/>
        <v>0</v>
      </c>
      <c r="C57" s="7" t="s">
        <v>392</v>
      </c>
      <c r="D57" s="7">
        <f>IF(ISBLANK(_SP09),"",_SP09)</f>
        <v>0</v>
      </c>
    </row>
    <row r="58" spans="1:4" x14ac:dyDescent="0.25">
      <c r="A58" s="7">
        <f t="shared" si="0"/>
        <v>2022</v>
      </c>
      <c r="B58" s="7">
        <f t="shared" si="1"/>
        <v>0</v>
      </c>
      <c r="C58" s="7" t="s">
        <v>393</v>
      </c>
      <c r="D58" s="7">
        <f>IF(ISBLANK(_SP10),"",_SP10)</f>
        <v>0</v>
      </c>
    </row>
    <row r="59" spans="1:4" x14ac:dyDescent="0.25">
      <c r="A59" s="7">
        <f t="shared" si="0"/>
        <v>2022</v>
      </c>
      <c r="B59" s="7">
        <f t="shared" si="1"/>
        <v>0</v>
      </c>
      <c r="C59" s="7" t="s">
        <v>394</v>
      </c>
      <c r="D59" s="7" t="str">
        <f>IF(ISBLANK(_ZS10),"",_ZS10)</f>
        <v/>
      </c>
    </row>
    <row r="60" spans="1:4" x14ac:dyDescent="0.25">
      <c r="A60" s="7">
        <f t="shared" si="0"/>
        <v>2022</v>
      </c>
      <c r="B60" s="7">
        <f t="shared" si="1"/>
        <v>0</v>
      </c>
      <c r="C60" s="7" t="s">
        <v>395</v>
      </c>
      <c r="D60" s="7" t="str">
        <f>IF(ISBLANK(_AS10),"",_AS10)</f>
        <v/>
      </c>
    </row>
    <row r="61" spans="1:4" x14ac:dyDescent="0.25">
      <c r="A61" s="7">
        <f t="shared" si="0"/>
        <v>2022</v>
      </c>
      <c r="B61" s="7">
        <f t="shared" si="1"/>
        <v>0</v>
      </c>
      <c r="C61" s="7" t="s">
        <v>572</v>
      </c>
      <c r="D61" s="7" t="str">
        <f>IF(ISBLANK(_XX05),"",_XX05)</f>
        <v/>
      </c>
    </row>
    <row r="62" spans="1:4" x14ac:dyDescent="0.25">
      <c r="A62" s="7">
        <f t="shared" si="0"/>
        <v>2022</v>
      </c>
      <c r="B62" s="7">
        <f t="shared" si="1"/>
        <v>0</v>
      </c>
      <c r="C62" s="7" t="s">
        <v>573</v>
      </c>
      <c r="D62" s="7" t="str">
        <f>IF(ISBLANK(_XX06),"",_XX06)</f>
        <v/>
      </c>
    </row>
    <row r="63" spans="1:4" x14ac:dyDescent="0.25">
      <c r="A63" s="7">
        <f t="shared" si="0"/>
        <v>2022</v>
      </c>
      <c r="B63" s="7">
        <f t="shared" si="1"/>
        <v>0</v>
      </c>
      <c r="C63" s="7" t="s">
        <v>574</v>
      </c>
      <c r="D63" s="7" t="str">
        <f>IF(ISBLANK(_XX07),"",_XX07)</f>
        <v/>
      </c>
    </row>
    <row r="64" spans="1:4" x14ac:dyDescent="0.25">
      <c r="A64" s="7">
        <f t="shared" si="0"/>
        <v>2022</v>
      </c>
      <c r="B64" s="7">
        <f t="shared" si="1"/>
        <v>0</v>
      </c>
      <c r="C64" s="7" t="s">
        <v>396</v>
      </c>
      <c r="D64" s="7">
        <f>IF(ISBLANK(_LR10),"",_LR10)</f>
        <v>0</v>
      </c>
    </row>
    <row r="65" spans="1:4" x14ac:dyDescent="0.25">
      <c r="A65" s="7">
        <f t="shared" ref="A65:A137" si="2">_JAHR</f>
        <v>2022</v>
      </c>
      <c r="B65" s="7">
        <f t="shared" ref="B65:B137" si="3">_UKZ</f>
        <v>0</v>
      </c>
      <c r="C65" s="7" t="s">
        <v>855</v>
      </c>
      <c r="D65" s="7" t="str">
        <f>IF(ISBLANK(_LR09),"",_LR09)</f>
        <v/>
      </c>
    </row>
    <row r="66" spans="1:4" x14ac:dyDescent="0.25">
      <c r="A66" s="7">
        <f t="shared" si="2"/>
        <v>2022</v>
      </c>
      <c r="B66" s="7">
        <f t="shared" si="3"/>
        <v>0</v>
      </c>
      <c r="C66" s="7" t="s">
        <v>577</v>
      </c>
      <c r="D66" s="7" t="str">
        <f>IF(ISBLANK(_XX08),"",_XX08)</f>
        <v/>
      </c>
    </row>
    <row r="67" spans="1:4" x14ac:dyDescent="0.25">
      <c r="A67" s="7">
        <f t="shared" si="2"/>
        <v>2022</v>
      </c>
      <c r="B67" s="7">
        <f t="shared" si="3"/>
        <v>0</v>
      </c>
      <c r="C67" s="7" t="s">
        <v>578</v>
      </c>
      <c r="D67" s="7" t="str">
        <f>IF(ISBLANK(_XX09),"",_XX09)</f>
        <v/>
      </c>
    </row>
    <row r="68" spans="1:4" x14ac:dyDescent="0.25">
      <c r="A68" s="7">
        <f t="shared" si="2"/>
        <v>2022</v>
      </c>
      <c r="B68" s="7">
        <f t="shared" si="3"/>
        <v>0</v>
      </c>
      <c r="C68" s="7" t="s">
        <v>579</v>
      </c>
      <c r="D68" s="7" t="str">
        <f>IF(ISBLANK(_XX10),"",_XX10)</f>
        <v/>
      </c>
    </row>
    <row r="69" spans="1:4" x14ac:dyDescent="0.25">
      <c r="A69" s="7">
        <f t="shared" si="2"/>
        <v>2022</v>
      </c>
      <c r="B69" s="7">
        <f t="shared" si="3"/>
        <v>0</v>
      </c>
      <c r="C69" s="7" t="s">
        <v>397</v>
      </c>
      <c r="D69" s="7">
        <f>IF(ISBLANK(_FK10),"",_FK10)</f>
        <v>0</v>
      </c>
    </row>
    <row r="70" spans="1:4" x14ac:dyDescent="0.25">
      <c r="A70" s="7">
        <f t="shared" si="2"/>
        <v>2022</v>
      </c>
      <c r="B70" s="7">
        <f t="shared" si="3"/>
        <v>0</v>
      </c>
      <c r="C70" s="7" t="s">
        <v>398</v>
      </c>
      <c r="D70" s="7" t="str">
        <f>IF(ISBLANK(_TI10),"",_TI10)</f>
        <v/>
      </c>
    </row>
    <row r="71" spans="1:4" x14ac:dyDescent="0.25">
      <c r="A71" s="7">
        <f t="shared" si="2"/>
        <v>2022</v>
      </c>
      <c r="B71" s="7">
        <f t="shared" si="3"/>
        <v>0</v>
      </c>
      <c r="C71" s="7" t="s">
        <v>581</v>
      </c>
      <c r="D71" s="7" t="str">
        <f>IF(ISBLANK(_XX11),"",_XX11)</f>
        <v/>
      </c>
    </row>
    <row r="72" spans="1:4" x14ac:dyDescent="0.25">
      <c r="A72" s="7">
        <f t="shared" si="2"/>
        <v>2022</v>
      </c>
      <c r="B72" s="7">
        <f t="shared" si="3"/>
        <v>0</v>
      </c>
      <c r="C72" s="7" t="s">
        <v>582</v>
      </c>
      <c r="D72" s="7" t="str">
        <f>IF(ISBLANK(_XX12),"",_XX12)</f>
        <v/>
      </c>
    </row>
    <row r="73" spans="1:4" x14ac:dyDescent="0.25">
      <c r="A73" s="7">
        <f t="shared" si="2"/>
        <v>2022</v>
      </c>
      <c r="B73" s="7">
        <f t="shared" si="3"/>
        <v>0</v>
      </c>
      <c r="C73" s="7" t="s">
        <v>583</v>
      </c>
      <c r="D73" s="7" t="str">
        <f>IF(ISBLANK(_EA10),"",_EA10)</f>
        <v/>
      </c>
    </row>
    <row r="74" spans="1:4" x14ac:dyDescent="0.25">
      <c r="A74" s="7">
        <f t="shared" si="2"/>
        <v>2022</v>
      </c>
      <c r="B74" s="7">
        <f t="shared" si="3"/>
        <v>0</v>
      </c>
      <c r="C74" s="7" t="s">
        <v>584</v>
      </c>
      <c r="D74" s="7">
        <f>IF(ISBLANK(_FK50),"",_FK50)</f>
        <v>0</v>
      </c>
    </row>
    <row r="75" spans="1:4" x14ac:dyDescent="0.25">
      <c r="A75" s="7">
        <f t="shared" si="2"/>
        <v>2022</v>
      </c>
      <c r="B75" s="7">
        <f t="shared" si="3"/>
        <v>0</v>
      </c>
      <c r="C75" s="7" t="s">
        <v>580</v>
      </c>
      <c r="D75" s="7">
        <f>IF(ISBLANK(_SL10),"",_SL10)</f>
        <v>0</v>
      </c>
    </row>
    <row r="76" spans="1:4" x14ac:dyDescent="0.25">
      <c r="A76" s="7">
        <f t="shared" si="2"/>
        <v>2022</v>
      </c>
      <c r="B76" s="7">
        <f t="shared" si="3"/>
        <v>0</v>
      </c>
      <c r="C76" s="7" t="s">
        <v>399</v>
      </c>
      <c r="D76" s="7" t="str">
        <f>IF(ISBLANK(_LV10),"",_LV10)</f>
        <v/>
      </c>
    </row>
    <row r="77" spans="1:4" x14ac:dyDescent="0.25">
      <c r="A77" s="7">
        <f t="shared" si="2"/>
        <v>2022</v>
      </c>
      <c r="B77" s="7">
        <f t="shared" si="3"/>
        <v>0</v>
      </c>
      <c r="C77" s="7" t="s">
        <v>400</v>
      </c>
      <c r="D77" s="7">
        <f>IF(ISBLANK(_KV10),"",_KV10)</f>
        <v>0</v>
      </c>
    </row>
    <row r="78" spans="1:4" x14ac:dyDescent="0.25">
      <c r="A78" s="7">
        <f t="shared" si="2"/>
        <v>2022</v>
      </c>
      <c r="B78" s="7">
        <f t="shared" si="3"/>
        <v>0</v>
      </c>
      <c r="C78" s="7" t="s">
        <v>401</v>
      </c>
      <c r="D78" s="7" t="str">
        <f>IF(ISBLANK(_GK09),"",_GK09)</f>
        <v/>
      </c>
    </row>
    <row r="79" spans="1:4" x14ac:dyDescent="0.25">
      <c r="A79" s="7">
        <f t="shared" si="2"/>
        <v>2022</v>
      </c>
      <c r="B79" s="7">
        <f t="shared" si="3"/>
        <v>0</v>
      </c>
      <c r="C79" s="7" t="s">
        <v>402</v>
      </c>
      <c r="D79" s="7">
        <f>IF(ISBLANK(_GK10),"",_GK10)</f>
        <v>0</v>
      </c>
    </row>
    <row r="80" spans="1:4" x14ac:dyDescent="0.25">
      <c r="A80" s="7">
        <f t="shared" si="2"/>
        <v>2022</v>
      </c>
      <c r="B80" s="7">
        <f t="shared" si="3"/>
        <v>0</v>
      </c>
      <c r="C80" s="7" t="s">
        <v>403</v>
      </c>
      <c r="D80" s="7" t="str">
        <f>IF(ISBLANK(_UE10),"",_UE10)</f>
        <v/>
      </c>
    </row>
    <row r="81" spans="1:4" x14ac:dyDescent="0.25">
      <c r="A81" s="7">
        <f t="shared" si="2"/>
        <v>2022</v>
      </c>
      <c r="B81" s="7">
        <f t="shared" si="3"/>
        <v>0</v>
      </c>
      <c r="C81" s="7" t="s">
        <v>404</v>
      </c>
      <c r="D81" s="7" t="str">
        <f>IF(ISBLANK(_UE01),"",_UE01)</f>
        <v/>
      </c>
    </row>
    <row r="82" spans="1:4" x14ac:dyDescent="0.25">
      <c r="A82" s="7">
        <f t="shared" si="2"/>
        <v>2022</v>
      </c>
      <c r="B82" s="7">
        <f t="shared" si="3"/>
        <v>0</v>
      </c>
      <c r="C82" s="7" t="s">
        <v>405</v>
      </c>
      <c r="D82" s="7" t="str">
        <f>IF(ISBLANK(_UE02),"",_UE02)</f>
        <v/>
      </c>
    </row>
    <row r="83" spans="1:4" x14ac:dyDescent="0.25">
      <c r="A83" s="7">
        <f t="shared" si="2"/>
        <v>2022</v>
      </c>
      <c r="B83" s="7">
        <f t="shared" si="3"/>
        <v>0</v>
      </c>
      <c r="C83" s="7" t="s">
        <v>406</v>
      </c>
      <c r="D83" s="7" t="str">
        <f>IF(ISBLANK(_UE03),"",_UE03)</f>
        <v/>
      </c>
    </row>
    <row r="84" spans="1:4" x14ac:dyDescent="0.25">
      <c r="A84" s="7">
        <f t="shared" si="2"/>
        <v>2022</v>
      </c>
      <c r="B84" s="7">
        <f t="shared" si="3"/>
        <v>0</v>
      </c>
      <c r="C84" s="7" t="s">
        <v>407</v>
      </c>
      <c r="D84" s="7" t="str">
        <f>IF(ISBLANK(_ES11),"",_ES11)</f>
        <v/>
      </c>
    </row>
    <row r="85" spans="1:4" x14ac:dyDescent="0.25">
      <c r="A85" s="7">
        <f t="shared" si="2"/>
        <v>2022</v>
      </c>
      <c r="B85" s="7">
        <f t="shared" si="3"/>
        <v>0</v>
      </c>
      <c r="C85" s="7" t="s">
        <v>408</v>
      </c>
      <c r="D85" s="7" t="str">
        <f>IF(ISBLANK(_ES12),"",_ES12)</f>
        <v/>
      </c>
    </row>
    <row r="86" spans="1:4" x14ac:dyDescent="0.25">
      <c r="A86" s="7">
        <f t="shared" si="2"/>
        <v>2022</v>
      </c>
      <c r="B86" s="7">
        <f t="shared" si="3"/>
        <v>0</v>
      </c>
      <c r="C86" s="7" t="s">
        <v>409</v>
      </c>
      <c r="D86" s="7" t="str">
        <f>IF(ISBLANK(_ES02),"",_ES02)</f>
        <v/>
      </c>
    </row>
    <row r="87" spans="1:4" x14ac:dyDescent="0.25">
      <c r="A87" s="7">
        <f t="shared" si="2"/>
        <v>2022</v>
      </c>
      <c r="B87" s="7">
        <f t="shared" si="3"/>
        <v>0</v>
      </c>
      <c r="C87" s="7" t="s">
        <v>410</v>
      </c>
      <c r="D87" s="7" t="str">
        <f>IF(ISBLANK(_UE04),"",_UE04)</f>
        <v/>
      </c>
    </row>
    <row r="88" spans="1:4" x14ac:dyDescent="0.25">
      <c r="A88" s="7">
        <f t="shared" si="2"/>
        <v>2022</v>
      </c>
      <c r="B88" s="7">
        <f t="shared" si="3"/>
        <v>0</v>
      </c>
      <c r="C88" s="7" t="s">
        <v>587</v>
      </c>
      <c r="D88" s="7" t="str">
        <f>IF(ISBLANK(_XX13),"",_XX13)</f>
        <v/>
      </c>
    </row>
    <row r="89" spans="1:4" x14ac:dyDescent="0.25">
      <c r="A89" s="7">
        <f t="shared" si="2"/>
        <v>2022</v>
      </c>
      <c r="B89" s="7">
        <f t="shared" si="3"/>
        <v>0</v>
      </c>
      <c r="C89" s="7" t="s">
        <v>411</v>
      </c>
      <c r="D89" s="7" t="str">
        <f>IF(ISBLANK(_UE20),"",_UE20)</f>
        <v/>
      </c>
    </row>
    <row r="90" spans="1:4" x14ac:dyDescent="0.25">
      <c r="A90" s="7">
        <f t="shared" si="2"/>
        <v>2022</v>
      </c>
      <c r="B90" s="7">
        <f t="shared" si="3"/>
        <v>0</v>
      </c>
      <c r="C90" s="7" t="s">
        <v>412</v>
      </c>
      <c r="D90" s="7" t="str">
        <f>IF(ISBLANK(_UE30),"",_UE30)</f>
        <v/>
      </c>
    </row>
    <row r="91" spans="1:4" x14ac:dyDescent="0.25">
      <c r="A91" s="7">
        <f t="shared" si="2"/>
        <v>2022</v>
      </c>
      <c r="B91" s="7">
        <f t="shared" si="3"/>
        <v>0</v>
      </c>
      <c r="C91" s="7" t="s">
        <v>413</v>
      </c>
      <c r="D91" s="7" t="str">
        <f>IF(ISBLANK(_UE40),"",_UE40)</f>
        <v/>
      </c>
    </row>
    <row r="92" spans="1:4" x14ac:dyDescent="0.25">
      <c r="A92" s="7">
        <f t="shared" si="2"/>
        <v>2022</v>
      </c>
      <c r="B92" s="7">
        <f t="shared" si="3"/>
        <v>0</v>
      </c>
      <c r="C92" s="7" t="s">
        <v>588</v>
      </c>
      <c r="D92" s="7" t="str">
        <f>IF(ISBLANK(_XX14),"",_XX14)</f>
        <v/>
      </c>
    </row>
    <row r="93" spans="1:4" x14ac:dyDescent="0.25">
      <c r="A93" s="7">
        <f t="shared" si="2"/>
        <v>2022</v>
      </c>
      <c r="B93" s="7">
        <f t="shared" si="3"/>
        <v>0</v>
      </c>
      <c r="C93" s="7" t="s">
        <v>414</v>
      </c>
      <c r="D93" s="7" t="str">
        <f>IF(ISBLANK(_BV10),"",_BV10)</f>
        <v/>
      </c>
    </row>
    <row r="94" spans="1:4" x14ac:dyDescent="0.25">
      <c r="A94" s="7">
        <f t="shared" si="2"/>
        <v>2022</v>
      </c>
      <c r="B94" s="7">
        <f t="shared" si="3"/>
        <v>0</v>
      </c>
      <c r="C94" s="7" t="s">
        <v>1109</v>
      </c>
      <c r="D94" s="7" t="str">
        <f>IF(ISBLANK(_XX40),"",_XX40)</f>
        <v/>
      </c>
    </row>
    <row r="95" spans="1:4" x14ac:dyDescent="0.25">
      <c r="A95" s="7">
        <f t="shared" si="2"/>
        <v>2022</v>
      </c>
      <c r="B95" s="7">
        <f t="shared" si="3"/>
        <v>0</v>
      </c>
      <c r="C95" s="7" t="s">
        <v>1110</v>
      </c>
      <c r="D95" s="7" t="str">
        <f>IF(ISBLANK(_XX41),"",_XX41)</f>
        <v/>
      </c>
    </row>
    <row r="96" spans="1:4" x14ac:dyDescent="0.25">
      <c r="A96" s="7">
        <f t="shared" si="2"/>
        <v>2022</v>
      </c>
      <c r="B96" s="7">
        <f t="shared" si="3"/>
        <v>0</v>
      </c>
      <c r="C96" s="7" t="s">
        <v>590</v>
      </c>
      <c r="D96" s="7" t="str">
        <f>IF(ISBLANK(_XX15),"",_XX15)</f>
        <v/>
      </c>
    </row>
    <row r="97" spans="1:4" x14ac:dyDescent="0.25">
      <c r="A97" s="7">
        <f t="shared" si="2"/>
        <v>2022</v>
      </c>
      <c r="B97" s="7">
        <f t="shared" si="3"/>
        <v>0</v>
      </c>
      <c r="C97" s="7" t="s">
        <v>589</v>
      </c>
      <c r="D97" s="7" t="str">
        <f>IF(ISBLANK(_XX16),"",_XX16)</f>
        <v/>
      </c>
    </row>
    <row r="98" spans="1:4" x14ac:dyDescent="0.25">
      <c r="A98" s="7">
        <f t="shared" si="2"/>
        <v>2022</v>
      </c>
      <c r="B98" s="7">
        <f t="shared" si="3"/>
        <v>0</v>
      </c>
      <c r="C98" s="7" t="s">
        <v>415</v>
      </c>
      <c r="D98" s="7" t="str">
        <f>IF(ISBLANK(_SE10),"",_SE10)</f>
        <v/>
      </c>
    </row>
    <row r="99" spans="1:4" x14ac:dyDescent="0.25">
      <c r="A99" s="7">
        <f t="shared" si="2"/>
        <v>2022</v>
      </c>
      <c r="B99" s="7">
        <f t="shared" si="3"/>
        <v>0</v>
      </c>
      <c r="C99" s="7" t="s">
        <v>416</v>
      </c>
      <c r="D99" s="7" t="str">
        <f>IF(ISBLANK(_SE01),"",_SE01)</f>
        <v/>
      </c>
    </row>
    <row r="100" spans="1:4" x14ac:dyDescent="0.25">
      <c r="A100" s="7">
        <f t="shared" si="2"/>
        <v>2022</v>
      </c>
      <c r="B100" s="7">
        <f t="shared" si="3"/>
        <v>0</v>
      </c>
      <c r="C100" s="7" t="s">
        <v>417</v>
      </c>
      <c r="D100" s="7" t="str">
        <f>IF(ISBLANK(_SE02),"",_SE02)</f>
        <v/>
      </c>
    </row>
    <row r="101" spans="1:4" x14ac:dyDescent="0.25">
      <c r="A101" s="7">
        <f t="shared" si="2"/>
        <v>2022</v>
      </c>
      <c r="B101" s="7">
        <f t="shared" si="3"/>
        <v>0</v>
      </c>
      <c r="C101" s="7" t="s">
        <v>418</v>
      </c>
      <c r="D101" s="7" t="str">
        <f>IF(ISBLANK(_SE03),"",_SE03)</f>
        <v/>
      </c>
    </row>
    <row r="102" spans="1:4" x14ac:dyDescent="0.25">
      <c r="A102" s="7">
        <f t="shared" si="2"/>
        <v>2022</v>
      </c>
      <c r="B102" s="7">
        <f t="shared" si="3"/>
        <v>0</v>
      </c>
      <c r="C102" s="7" t="s">
        <v>419</v>
      </c>
      <c r="D102" s="7" t="str">
        <f>IF(ISBLANK(_SE04),"",_SE04)</f>
        <v/>
      </c>
    </row>
    <row r="103" spans="1:4" x14ac:dyDescent="0.25">
      <c r="A103" s="7">
        <f t="shared" si="2"/>
        <v>2022</v>
      </c>
      <c r="B103" s="7">
        <f t="shared" si="3"/>
        <v>0</v>
      </c>
      <c r="C103" s="7" t="s">
        <v>591</v>
      </c>
      <c r="D103" s="7">
        <f>IF(ISBLANK(_XX17),"",_XX17)</f>
        <v>0</v>
      </c>
    </row>
    <row r="104" spans="1:4" x14ac:dyDescent="0.25">
      <c r="A104" s="7">
        <f t="shared" si="2"/>
        <v>2022</v>
      </c>
      <c r="B104" s="7">
        <f t="shared" si="3"/>
        <v>0</v>
      </c>
      <c r="C104" s="7" t="s">
        <v>856</v>
      </c>
      <c r="D104" s="7" t="str">
        <f>IF(ISBLANK(_ZE10),"",_ZE10)</f>
        <v/>
      </c>
    </row>
    <row r="105" spans="1:4" x14ac:dyDescent="0.25">
      <c r="A105" s="7">
        <f t="shared" si="2"/>
        <v>2022</v>
      </c>
      <c r="B105" s="7">
        <f t="shared" si="3"/>
        <v>0</v>
      </c>
      <c r="C105" s="7" t="s">
        <v>420</v>
      </c>
      <c r="D105" s="7" t="str">
        <f>IF(ISBLANK(_AH10),"",_AH10)</f>
        <v/>
      </c>
    </row>
    <row r="106" spans="1:4" x14ac:dyDescent="0.25">
      <c r="A106" s="7">
        <f t="shared" si="2"/>
        <v>2022</v>
      </c>
      <c r="B106" s="7">
        <f t="shared" si="3"/>
        <v>0</v>
      </c>
      <c r="C106" s="7" t="s">
        <v>421</v>
      </c>
      <c r="D106" s="7" t="str">
        <f>IF(ISBLANK(_BK01),"",_BK01)</f>
        <v/>
      </c>
    </row>
    <row r="107" spans="1:4" x14ac:dyDescent="0.25">
      <c r="A107" s="7">
        <f t="shared" si="2"/>
        <v>2022</v>
      </c>
      <c r="B107" s="7">
        <f t="shared" si="3"/>
        <v>0</v>
      </c>
      <c r="C107" s="7" t="s">
        <v>422</v>
      </c>
      <c r="D107" s="7" t="str">
        <f>IF(ISBLANK(_HK01),"",_HK01)</f>
        <v/>
      </c>
    </row>
    <row r="108" spans="1:4" x14ac:dyDescent="0.25">
      <c r="A108" s="7">
        <f t="shared" si="2"/>
        <v>2022</v>
      </c>
      <c r="B108" s="7">
        <f t="shared" si="3"/>
        <v>0</v>
      </c>
      <c r="C108" s="7" t="s">
        <v>423</v>
      </c>
      <c r="D108" s="7" t="str">
        <f>IF(ISBLANK(_IK01),"",_IK01)</f>
        <v/>
      </c>
    </row>
    <row r="109" spans="1:4" x14ac:dyDescent="0.25">
      <c r="A109" s="7">
        <f t="shared" si="2"/>
        <v>2022</v>
      </c>
      <c r="B109" s="7">
        <f t="shared" si="3"/>
        <v>0</v>
      </c>
      <c r="C109" s="7" t="s">
        <v>424</v>
      </c>
      <c r="D109" s="7" t="str">
        <f>IF(ISBLANK(_EZ01),"",_EZ01)</f>
        <v/>
      </c>
    </row>
    <row r="110" spans="1:4" x14ac:dyDescent="0.25">
      <c r="A110" s="7">
        <f t="shared" si="2"/>
        <v>2022</v>
      </c>
      <c r="B110" s="7">
        <f t="shared" si="3"/>
        <v>0</v>
      </c>
      <c r="C110" s="7" t="s">
        <v>426</v>
      </c>
      <c r="D110" s="7" t="str">
        <f>IF(ISBLANK(_SA01),"",_SA01)</f>
        <v/>
      </c>
    </row>
    <row r="111" spans="1:4" x14ac:dyDescent="0.25">
      <c r="A111" s="7">
        <f t="shared" si="2"/>
        <v>2022</v>
      </c>
      <c r="B111" s="7">
        <f t="shared" si="3"/>
        <v>0</v>
      </c>
      <c r="C111" s="7" t="s">
        <v>1111</v>
      </c>
      <c r="D111" s="7" t="str">
        <f>IF(ISBLANK(_XX43),"",_XX43)</f>
        <v/>
      </c>
    </row>
    <row r="112" spans="1:4" x14ac:dyDescent="0.25">
      <c r="A112" s="7">
        <f t="shared" si="2"/>
        <v>2022</v>
      </c>
      <c r="B112" s="7">
        <f t="shared" si="3"/>
        <v>0</v>
      </c>
      <c r="C112" s="7" t="s">
        <v>1112</v>
      </c>
      <c r="D112" s="7" t="str">
        <f>IF(ISBLANK(_XX44),"",_XX44)</f>
        <v/>
      </c>
    </row>
    <row r="113" spans="1:4" x14ac:dyDescent="0.25">
      <c r="A113" s="7">
        <f t="shared" si="2"/>
        <v>2022</v>
      </c>
      <c r="B113" s="7">
        <f t="shared" si="3"/>
        <v>0</v>
      </c>
      <c r="C113" s="7" t="s">
        <v>1113</v>
      </c>
      <c r="D113" s="7" t="str">
        <f>IF(ISBLANK(_XX45),"",_XX45)</f>
        <v/>
      </c>
    </row>
    <row r="114" spans="1:4" x14ac:dyDescent="0.25">
      <c r="A114" s="7">
        <f t="shared" si="2"/>
        <v>2022</v>
      </c>
      <c r="B114" s="7">
        <f t="shared" si="3"/>
        <v>0</v>
      </c>
      <c r="C114" s="7" t="s">
        <v>1114</v>
      </c>
      <c r="D114" s="7" t="str">
        <f>IF(ISBLANK(_XX46),"",_XX46)</f>
        <v/>
      </c>
    </row>
    <row r="115" spans="1:4" x14ac:dyDescent="0.25">
      <c r="A115" s="7">
        <f t="shared" si="2"/>
        <v>2022</v>
      </c>
      <c r="B115" s="7">
        <f t="shared" si="3"/>
        <v>0</v>
      </c>
      <c r="C115" s="7" t="s">
        <v>1117</v>
      </c>
      <c r="D115" s="7" t="str">
        <f>IF(ISBLANK(_XX47),"",_XX47)</f>
        <v/>
      </c>
    </row>
    <row r="116" spans="1:4" x14ac:dyDescent="0.25">
      <c r="A116" s="7">
        <f t="shared" si="2"/>
        <v>2022</v>
      </c>
      <c r="B116" s="7">
        <f t="shared" si="3"/>
        <v>0</v>
      </c>
      <c r="C116" s="7" t="s">
        <v>1118</v>
      </c>
      <c r="D116" s="7" t="str">
        <f>IF(ISBLANK(_XX48),"",_XX48)</f>
        <v/>
      </c>
    </row>
    <row r="117" spans="1:4" x14ac:dyDescent="0.25">
      <c r="A117" s="7">
        <f t="shared" si="2"/>
        <v>2022</v>
      </c>
      <c r="B117" s="7">
        <f t="shared" si="3"/>
        <v>0</v>
      </c>
      <c r="C117" s="7" t="s">
        <v>425</v>
      </c>
      <c r="D117" s="7" t="str">
        <f>IF(ISBLANK(_PA01),"",_PA01)</f>
        <v/>
      </c>
    </row>
    <row r="118" spans="1:4" x14ac:dyDescent="0.25">
      <c r="A118" s="7">
        <f t="shared" si="2"/>
        <v>2022</v>
      </c>
      <c r="B118" s="7">
        <f t="shared" si="3"/>
        <v>0</v>
      </c>
      <c r="C118" s="7" t="s">
        <v>593</v>
      </c>
      <c r="D118" s="7" t="str">
        <f>IF(ISBLANK(_XX18),"",_XX18)</f>
        <v/>
      </c>
    </row>
    <row r="119" spans="1:4" x14ac:dyDescent="0.25">
      <c r="A119" s="7">
        <f t="shared" si="2"/>
        <v>2022</v>
      </c>
      <c r="B119" s="7">
        <f t="shared" si="3"/>
        <v>0</v>
      </c>
      <c r="C119" s="7" t="s">
        <v>427</v>
      </c>
      <c r="D119" s="7">
        <f>IF(ISBLANK(_BK02),"",_BK02)</f>
        <v>0</v>
      </c>
    </row>
    <row r="120" spans="1:4" x14ac:dyDescent="0.25">
      <c r="A120" s="7">
        <f t="shared" si="2"/>
        <v>2022</v>
      </c>
      <c r="B120" s="7">
        <f t="shared" si="3"/>
        <v>0</v>
      </c>
      <c r="C120" s="7" t="s">
        <v>428</v>
      </c>
      <c r="D120" s="7">
        <f>IF(ISBLANK(_HK02),"",_HK02)</f>
        <v>0</v>
      </c>
    </row>
    <row r="121" spans="1:4" x14ac:dyDescent="0.25">
      <c r="A121" s="7">
        <f t="shared" si="2"/>
        <v>2022</v>
      </c>
      <c r="B121" s="7">
        <f t="shared" si="3"/>
        <v>0</v>
      </c>
      <c r="C121" s="7" t="s">
        <v>429</v>
      </c>
      <c r="D121" s="7">
        <f>IF(ISBLANK(_IK02),"",_IK02)</f>
        <v>0</v>
      </c>
    </row>
    <row r="122" spans="1:4" x14ac:dyDescent="0.25">
      <c r="A122" s="7">
        <f t="shared" si="2"/>
        <v>2022</v>
      </c>
      <c r="B122" s="7">
        <f t="shared" si="3"/>
        <v>0</v>
      </c>
      <c r="C122" s="7" t="str">
        <f>'Teil I - S.8'!E39</f>
        <v>LG10</v>
      </c>
      <c r="D122" s="7" t="str">
        <f>IF(ISBLANK(_LG10),"",_LG10)</f>
        <v/>
      </c>
    </row>
    <row r="123" spans="1:4" x14ac:dyDescent="0.25">
      <c r="A123" s="7">
        <f t="shared" si="2"/>
        <v>2022</v>
      </c>
      <c r="B123" s="7">
        <f t="shared" si="3"/>
        <v>0</v>
      </c>
      <c r="C123" s="7" t="str">
        <f>'Teil II'!E9</f>
        <v>LG01</v>
      </c>
      <c r="D123" s="7" t="str">
        <f>IF(ISBLANK(_LG01),"",_LG01)</f>
        <v/>
      </c>
    </row>
    <row r="124" spans="1:4" x14ac:dyDescent="0.25">
      <c r="A124" s="7">
        <f t="shared" si="2"/>
        <v>2022</v>
      </c>
      <c r="B124" s="7">
        <f t="shared" si="3"/>
        <v>0</v>
      </c>
      <c r="C124" s="7" t="str">
        <f>'Teil II'!E10</f>
        <v>LG03</v>
      </c>
      <c r="D124" s="7" t="str">
        <f>IF(ISBLANK(_LG03),"",_LG03)</f>
        <v/>
      </c>
    </row>
    <row r="125" spans="1:4" x14ac:dyDescent="0.25">
      <c r="A125" s="7">
        <f t="shared" si="2"/>
        <v>2022</v>
      </c>
      <c r="B125" s="7">
        <f t="shared" si="3"/>
        <v>0</v>
      </c>
      <c r="C125" s="7" t="str">
        <f>'Teil II'!E11</f>
        <v>LG05</v>
      </c>
      <c r="D125" s="7" t="str">
        <f>IF(ISBLANK(_LG05),"",_LG05)</f>
        <v/>
      </c>
    </row>
    <row r="126" spans="1:4" x14ac:dyDescent="0.25">
      <c r="A126" s="7">
        <f t="shared" si="2"/>
        <v>2022</v>
      </c>
      <c r="B126" s="7">
        <f t="shared" si="3"/>
        <v>0</v>
      </c>
      <c r="C126" s="7" t="str">
        <f>'Teil II'!E12</f>
        <v>XX19</v>
      </c>
      <c r="D126" s="7">
        <f>IF(ISBLANK(_XX19),"",_XX19)</f>
        <v>0</v>
      </c>
    </row>
    <row r="127" spans="1:4" x14ac:dyDescent="0.25">
      <c r="A127" s="7">
        <f t="shared" si="2"/>
        <v>2022</v>
      </c>
      <c r="B127" s="7">
        <f t="shared" si="3"/>
        <v>0</v>
      </c>
      <c r="C127" s="7" t="str">
        <f>'Teil II'!E17</f>
        <v>LG02</v>
      </c>
      <c r="D127" s="7" t="str">
        <f>IF(ISBLANK(_LG02),"",_LG02)</f>
        <v/>
      </c>
    </row>
    <row r="128" spans="1:4" x14ac:dyDescent="0.25">
      <c r="A128" s="7">
        <f t="shared" si="2"/>
        <v>2022</v>
      </c>
      <c r="B128" s="7">
        <f t="shared" si="3"/>
        <v>0</v>
      </c>
      <c r="C128" s="7" t="str">
        <f>'Teil II'!E18</f>
        <v>LG04</v>
      </c>
      <c r="D128" s="7" t="str">
        <f>IF(ISBLANK(_LG04),"",_LG04)</f>
        <v/>
      </c>
    </row>
    <row r="129" spans="1:4" x14ac:dyDescent="0.25">
      <c r="A129" s="7">
        <f t="shared" si="2"/>
        <v>2022</v>
      </c>
      <c r="B129" s="7">
        <f t="shared" si="3"/>
        <v>0</v>
      </c>
      <c r="C129" s="7" t="str">
        <f>'Teil II'!E19</f>
        <v>LG06</v>
      </c>
      <c r="D129" s="7" t="str">
        <f>IF(ISBLANK(_LG06),"",_LG06)</f>
        <v/>
      </c>
    </row>
    <row r="130" spans="1:4" x14ac:dyDescent="0.25">
      <c r="A130" s="7">
        <f t="shared" si="2"/>
        <v>2022</v>
      </c>
      <c r="B130" s="7">
        <f t="shared" si="3"/>
        <v>0</v>
      </c>
      <c r="C130" s="7" t="str">
        <f>'Teil II'!E20</f>
        <v>LG20</v>
      </c>
      <c r="D130" s="7">
        <f>IF(ISBLANK(_LG20),"",_LG20)</f>
        <v>0</v>
      </c>
    </row>
    <row r="131" spans="1:4" x14ac:dyDescent="0.25">
      <c r="A131" s="7">
        <f t="shared" si="2"/>
        <v>2022</v>
      </c>
      <c r="B131" s="7">
        <f t="shared" si="3"/>
        <v>0</v>
      </c>
      <c r="C131" s="7" t="s">
        <v>438</v>
      </c>
      <c r="D131" s="7" t="str">
        <f>IF(ISBLANK(_LG09),"",_LG09)</f>
        <v/>
      </c>
    </row>
    <row r="132" spans="1:4" x14ac:dyDescent="0.25">
      <c r="A132" s="7">
        <f t="shared" si="2"/>
        <v>2022</v>
      </c>
      <c r="B132" s="7">
        <f t="shared" si="3"/>
        <v>0</v>
      </c>
      <c r="C132" s="7" t="s">
        <v>439</v>
      </c>
      <c r="D132" s="7" t="str">
        <f>IF(ISBLANK(_AA10),"",_AA10)</f>
        <v/>
      </c>
    </row>
    <row r="133" spans="1:4" x14ac:dyDescent="0.25">
      <c r="A133" s="7">
        <f t="shared" si="2"/>
        <v>2022</v>
      </c>
      <c r="B133" s="7">
        <f t="shared" si="3"/>
        <v>0</v>
      </c>
      <c r="C133" s="7" t="s">
        <v>440</v>
      </c>
      <c r="D133" s="7" t="str">
        <f>IF(ISBLANK(_AI01),"",_AI01)</f>
        <v/>
      </c>
    </row>
    <row r="134" spans="1:4" x14ac:dyDescent="0.25">
      <c r="A134" s="7">
        <f t="shared" si="2"/>
        <v>2022</v>
      </c>
      <c r="B134" s="7">
        <f t="shared" si="3"/>
        <v>0</v>
      </c>
      <c r="C134" s="7" t="s">
        <v>441</v>
      </c>
      <c r="D134" s="7" t="str">
        <f>IF(ISBLANK(_AS01),"",_AS01)</f>
        <v/>
      </c>
    </row>
    <row r="135" spans="1:4" x14ac:dyDescent="0.25">
      <c r="A135" s="7">
        <f t="shared" si="2"/>
        <v>2022</v>
      </c>
      <c r="B135" s="7">
        <f t="shared" si="3"/>
        <v>0</v>
      </c>
      <c r="C135" s="7" t="s">
        <v>598</v>
      </c>
      <c r="D135" s="7" t="str">
        <f>IF(ISBLANK(_XX20),"",_XX20)</f>
        <v/>
      </c>
    </row>
    <row r="136" spans="1:4" x14ac:dyDescent="0.25">
      <c r="A136" s="7">
        <f t="shared" si="2"/>
        <v>2022</v>
      </c>
      <c r="B136" s="7">
        <f t="shared" si="3"/>
        <v>0</v>
      </c>
      <c r="C136" s="7" t="s">
        <v>442</v>
      </c>
      <c r="D136" s="7" t="str">
        <f>IF(ISBLANK(_AS02),"",_AS02)</f>
        <v/>
      </c>
    </row>
    <row r="137" spans="1:4" x14ac:dyDescent="0.25">
      <c r="A137" s="7">
        <f t="shared" si="2"/>
        <v>2022</v>
      </c>
      <c r="B137" s="7">
        <f t="shared" si="3"/>
        <v>0</v>
      </c>
      <c r="C137" s="7" t="s">
        <v>443</v>
      </c>
      <c r="D137" s="7" t="str">
        <f>IF(ISBLANK(_AH01),"",_AH01)</f>
        <v/>
      </c>
    </row>
    <row r="138" spans="1:4" x14ac:dyDescent="0.25">
      <c r="A138" s="7">
        <f t="shared" ref="A138:A201" si="4">_JAHR</f>
        <v>2022</v>
      </c>
      <c r="B138" s="7">
        <f t="shared" ref="B138:B201" si="5">_UKZ</f>
        <v>0</v>
      </c>
      <c r="C138" s="7" t="s">
        <v>444</v>
      </c>
      <c r="D138" s="7" t="str">
        <f>IF(ISBLANK(_AF10),"",_AF10)</f>
        <v/>
      </c>
    </row>
    <row r="139" spans="1:4" x14ac:dyDescent="0.25">
      <c r="A139" s="7">
        <f t="shared" si="4"/>
        <v>2022</v>
      </c>
      <c r="B139" s="7">
        <f t="shared" si="5"/>
        <v>0</v>
      </c>
      <c r="C139" s="7" t="s">
        <v>445</v>
      </c>
      <c r="D139" s="7" t="str">
        <f>IF(ISBLANK(_SA10),"",_SA10)</f>
        <v/>
      </c>
    </row>
    <row r="140" spans="1:4" x14ac:dyDescent="0.25">
      <c r="A140" s="7">
        <f t="shared" si="4"/>
        <v>2022</v>
      </c>
      <c r="B140" s="7">
        <f t="shared" si="5"/>
        <v>0</v>
      </c>
      <c r="C140" s="7" t="s">
        <v>446</v>
      </c>
      <c r="D140" s="7" t="str">
        <f>IF(ISBLANK(_AM01),"",_AM01)</f>
        <v/>
      </c>
    </row>
    <row r="141" spans="1:4" x14ac:dyDescent="0.25">
      <c r="A141" s="7">
        <f t="shared" si="4"/>
        <v>2022</v>
      </c>
      <c r="B141" s="7">
        <f t="shared" si="5"/>
        <v>0</v>
      </c>
      <c r="C141" s="7" t="s">
        <v>1119</v>
      </c>
      <c r="D141" s="7" t="str">
        <f>IF(ISBLANK(_XX49),"",_XX49)</f>
        <v/>
      </c>
    </row>
    <row r="142" spans="1:4" x14ac:dyDescent="0.25">
      <c r="A142" s="7">
        <f t="shared" si="4"/>
        <v>2022</v>
      </c>
      <c r="B142" s="7">
        <f t="shared" si="5"/>
        <v>0</v>
      </c>
      <c r="C142" s="7" t="s">
        <v>601</v>
      </c>
      <c r="D142" s="7" t="str">
        <f>IF(ISBLANK(_XX21),"",_XX21)</f>
        <v/>
      </c>
    </row>
    <row r="143" spans="1:4" x14ac:dyDescent="0.25">
      <c r="A143" s="7">
        <f t="shared" si="4"/>
        <v>2022</v>
      </c>
      <c r="B143" s="7">
        <f t="shared" si="5"/>
        <v>0</v>
      </c>
      <c r="C143" s="7" t="s">
        <v>602</v>
      </c>
      <c r="D143" s="7" t="str">
        <f>IF(ISBLANK(_XX22),"",_XX22)</f>
        <v/>
      </c>
    </row>
    <row r="144" spans="1:4" x14ac:dyDescent="0.25">
      <c r="A144" s="7">
        <f t="shared" si="4"/>
        <v>2022</v>
      </c>
      <c r="B144" s="7">
        <f t="shared" si="5"/>
        <v>0</v>
      </c>
      <c r="C144" s="7" t="s">
        <v>603</v>
      </c>
      <c r="D144" s="7">
        <f>IF(ISBLANK(_XX23),"",_XX23)</f>
        <v>0</v>
      </c>
    </row>
    <row r="145" spans="1:4" x14ac:dyDescent="0.25">
      <c r="A145" s="7">
        <f t="shared" si="4"/>
        <v>2022</v>
      </c>
      <c r="B145" s="7">
        <f t="shared" si="5"/>
        <v>0</v>
      </c>
      <c r="C145" s="7" t="s">
        <v>1108</v>
      </c>
      <c r="D145" s="7" t="str">
        <f>IF(ISBLANK(_ZW10),"",_ZW10)</f>
        <v/>
      </c>
    </row>
    <row r="146" spans="1:4" x14ac:dyDescent="0.25">
      <c r="A146" s="7">
        <f t="shared" si="4"/>
        <v>2022</v>
      </c>
      <c r="B146" s="7">
        <f t="shared" si="5"/>
        <v>0</v>
      </c>
      <c r="C146" s="7" t="s">
        <v>447</v>
      </c>
      <c r="D146" s="7" t="str">
        <f>IF(ISBLANK(_ZA10),"",_ZA10)</f>
        <v/>
      </c>
    </row>
    <row r="147" spans="1:4" x14ac:dyDescent="0.25">
      <c r="A147" s="7">
        <f t="shared" si="4"/>
        <v>2022</v>
      </c>
      <c r="B147" s="7">
        <f t="shared" si="5"/>
        <v>0</v>
      </c>
      <c r="C147" s="7" t="s">
        <v>448</v>
      </c>
      <c r="D147" s="7" t="str">
        <f>IF(ISBLANK(_ZA01),"",_ZA01)</f>
        <v/>
      </c>
    </row>
    <row r="148" spans="1:4" x14ac:dyDescent="0.25">
      <c r="A148" s="7">
        <f t="shared" si="4"/>
        <v>2022</v>
      </c>
      <c r="B148" s="7">
        <f t="shared" si="5"/>
        <v>0</v>
      </c>
      <c r="C148" s="7" t="s">
        <v>449</v>
      </c>
      <c r="D148" s="7" t="str">
        <f>IF(ISBLANK(_ZA02),"",_ZA02)</f>
        <v/>
      </c>
    </row>
    <row r="149" spans="1:4" x14ac:dyDescent="0.25">
      <c r="A149" s="7">
        <f t="shared" si="4"/>
        <v>2022</v>
      </c>
      <c r="B149" s="7">
        <f t="shared" si="5"/>
        <v>0</v>
      </c>
      <c r="C149" s="7" t="s">
        <v>450</v>
      </c>
      <c r="D149" s="7" t="str">
        <f>IF(ISBLANK(_ZA03),"",_ZA03)</f>
        <v/>
      </c>
    </row>
    <row r="150" spans="1:4" x14ac:dyDescent="0.25">
      <c r="A150" s="7">
        <f t="shared" si="4"/>
        <v>2022</v>
      </c>
      <c r="B150" s="7">
        <f t="shared" si="5"/>
        <v>0</v>
      </c>
      <c r="C150" s="7" t="s">
        <v>451</v>
      </c>
      <c r="D150" s="7" t="str">
        <f>IF(ISBLANK(_ZA04),"",_ZA04)</f>
        <v/>
      </c>
    </row>
    <row r="151" spans="1:4" x14ac:dyDescent="0.25">
      <c r="A151" s="7">
        <f t="shared" si="4"/>
        <v>2022</v>
      </c>
      <c r="B151" s="7">
        <f t="shared" si="5"/>
        <v>0</v>
      </c>
      <c r="C151" s="7" t="s">
        <v>452</v>
      </c>
      <c r="D151" s="7" t="str">
        <f>IF(ISBLANK(_ZA05),"",_ZA05)</f>
        <v/>
      </c>
    </row>
    <row r="152" spans="1:4" x14ac:dyDescent="0.25">
      <c r="A152" s="7">
        <f t="shared" si="4"/>
        <v>2022</v>
      </c>
      <c r="B152" s="7">
        <f t="shared" si="5"/>
        <v>0</v>
      </c>
      <c r="C152" s="7" t="s">
        <v>604</v>
      </c>
      <c r="D152" s="7" t="str">
        <f>IF(ISBLANK(_XX24),"",_XX24)</f>
        <v/>
      </c>
    </row>
    <row r="153" spans="1:4" x14ac:dyDescent="0.25">
      <c r="A153" s="7">
        <f t="shared" si="4"/>
        <v>2022</v>
      </c>
      <c r="B153" s="7">
        <f t="shared" si="5"/>
        <v>0</v>
      </c>
      <c r="C153" s="7" t="s">
        <v>453</v>
      </c>
      <c r="D153" s="7" t="str">
        <f>IF(ISBLANK(_ZH10),"",_ZH10)</f>
        <v/>
      </c>
    </row>
    <row r="154" spans="1:4" x14ac:dyDescent="0.25">
      <c r="A154" s="7">
        <f t="shared" si="4"/>
        <v>2022</v>
      </c>
      <c r="B154" s="7">
        <f t="shared" si="5"/>
        <v>0</v>
      </c>
      <c r="C154" s="7" t="s">
        <v>454</v>
      </c>
      <c r="D154" s="7" t="str">
        <f>IF(ISBLANK(_ST10),"",_ST10)</f>
        <v/>
      </c>
    </row>
    <row r="155" spans="1:4" x14ac:dyDescent="0.25">
      <c r="A155" s="7">
        <f t="shared" si="4"/>
        <v>2022</v>
      </c>
      <c r="B155" s="7">
        <f t="shared" si="5"/>
        <v>0</v>
      </c>
      <c r="C155" s="7" t="s">
        <v>605</v>
      </c>
      <c r="D155" s="7" t="str">
        <f>IF(ISBLANK(_XX25),"",_XX25)</f>
        <v/>
      </c>
    </row>
    <row r="156" spans="1:4" x14ac:dyDescent="0.25">
      <c r="A156" s="7">
        <f t="shared" si="4"/>
        <v>2022</v>
      </c>
      <c r="B156" s="7">
        <f t="shared" si="5"/>
        <v>0</v>
      </c>
      <c r="C156" s="7" t="s">
        <v>455</v>
      </c>
      <c r="D156" s="7" t="str">
        <f>IF(ISBLANK(_GR10),"",_GR10)</f>
        <v/>
      </c>
    </row>
    <row r="157" spans="1:4" x14ac:dyDescent="0.25">
      <c r="A157" s="7">
        <f t="shared" si="4"/>
        <v>2022</v>
      </c>
      <c r="B157" s="7">
        <f t="shared" si="5"/>
        <v>0</v>
      </c>
      <c r="C157" s="7" t="s">
        <v>1120</v>
      </c>
      <c r="D157" s="7" t="str">
        <f>IF(ISBLANK(_XX50),"",_XX50)</f>
        <v/>
      </c>
    </row>
    <row r="158" spans="1:4" x14ac:dyDescent="0.25">
      <c r="A158" s="7">
        <f t="shared" si="4"/>
        <v>2022</v>
      </c>
      <c r="B158" s="7">
        <f t="shared" si="5"/>
        <v>0</v>
      </c>
      <c r="C158" s="7" t="s">
        <v>606</v>
      </c>
      <c r="D158" s="7" t="str">
        <f>IF(ISBLANK(_XX26),"",_XX26)</f>
        <v/>
      </c>
    </row>
    <row r="159" spans="1:4" x14ac:dyDescent="0.25">
      <c r="A159" s="7">
        <f t="shared" si="4"/>
        <v>2022</v>
      </c>
      <c r="B159" s="7">
        <f t="shared" si="5"/>
        <v>0</v>
      </c>
      <c r="C159" s="7" t="s">
        <v>607</v>
      </c>
      <c r="D159" s="7" t="str">
        <f>IF(ISBLANK(_XX27),"",_XX27)</f>
        <v/>
      </c>
    </row>
    <row r="160" spans="1:4" x14ac:dyDescent="0.25">
      <c r="A160" s="7">
        <f t="shared" si="4"/>
        <v>2022</v>
      </c>
      <c r="B160" s="7">
        <f t="shared" si="5"/>
        <v>0</v>
      </c>
      <c r="C160" s="7" t="s">
        <v>608</v>
      </c>
      <c r="D160" s="7" t="str">
        <f>IF(ISBLANK(_XX28),"",_XX28)</f>
        <v/>
      </c>
    </row>
    <row r="161" spans="1:4" x14ac:dyDescent="0.25">
      <c r="A161" s="7">
        <f t="shared" si="4"/>
        <v>2022</v>
      </c>
      <c r="B161" s="7">
        <f t="shared" si="5"/>
        <v>0</v>
      </c>
      <c r="C161" s="7" t="s">
        <v>456</v>
      </c>
      <c r="D161" s="7" t="str">
        <f>IF(ISBLANK(_GW10),"",_GW10)</f>
        <v/>
      </c>
    </row>
    <row r="162" spans="1:4" x14ac:dyDescent="0.25">
      <c r="A162" s="7">
        <f t="shared" si="4"/>
        <v>2022</v>
      </c>
      <c r="B162" s="7">
        <f t="shared" si="5"/>
        <v>0</v>
      </c>
      <c r="C162" s="7" t="s">
        <v>457</v>
      </c>
      <c r="D162" s="7" t="str">
        <f>IF(ISBLANK(_GW20),"",_GW20)</f>
        <v/>
      </c>
    </row>
    <row r="163" spans="1:4" x14ac:dyDescent="0.25">
      <c r="A163" s="7">
        <f t="shared" si="4"/>
        <v>2022</v>
      </c>
      <c r="B163" s="7">
        <f t="shared" si="5"/>
        <v>0</v>
      </c>
      <c r="C163" s="7" t="s">
        <v>664</v>
      </c>
      <c r="D163" s="7">
        <f>IF(ISBLANK(_BA31),"",_BA31)</f>
        <v>0</v>
      </c>
    </row>
    <row r="164" spans="1:4" x14ac:dyDescent="0.25">
      <c r="A164" s="7">
        <f t="shared" si="4"/>
        <v>2022</v>
      </c>
      <c r="B164" s="7">
        <f t="shared" si="5"/>
        <v>0</v>
      </c>
      <c r="C164" s="7" t="s">
        <v>665</v>
      </c>
      <c r="D164" s="7">
        <f>IF(ISBLANK(_BA32),"",_BA32)</f>
        <v>0</v>
      </c>
    </row>
    <row r="165" spans="1:4" x14ac:dyDescent="0.25">
      <c r="A165" s="7">
        <f t="shared" si="4"/>
        <v>2022</v>
      </c>
      <c r="B165" s="7">
        <f t="shared" si="5"/>
        <v>0</v>
      </c>
      <c r="C165" s="7" t="s">
        <v>666</v>
      </c>
      <c r="D165" s="7">
        <f>IF(ISBLANK(_BA33),"",_BA33)</f>
        <v>0</v>
      </c>
    </row>
    <row r="166" spans="1:4" x14ac:dyDescent="0.25">
      <c r="A166" s="7">
        <f t="shared" si="4"/>
        <v>2022</v>
      </c>
      <c r="B166" s="7">
        <f t="shared" si="5"/>
        <v>0</v>
      </c>
      <c r="C166" s="7" t="s">
        <v>667</v>
      </c>
      <c r="D166" s="7" t="str">
        <f>IF(ISBLANK(_BA34),"",_BA34)</f>
        <v/>
      </c>
    </row>
    <row r="167" spans="1:4" x14ac:dyDescent="0.25">
      <c r="A167" s="7">
        <f t="shared" si="4"/>
        <v>2022</v>
      </c>
      <c r="B167" s="7">
        <f t="shared" si="5"/>
        <v>0</v>
      </c>
      <c r="C167" s="7" t="s">
        <v>458</v>
      </c>
      <c r="D167" s="7">
        <f>IF(ISBLANK(_BA01),"",_BA01)</f>
        <v>0</v>
      </c>
    </row>
    <row r="168" spans="1:4" x14ac:dyDescent="0.25">
      <c r="A168" s="7">
        <f t="shared" si="4"/>
        <v>2022</v>
      </c>
      <c r="B168" s="7">
        <f t="shared" si="5"/>
        <v>0</v>
      </c>
      <c r="C168" s="7" t="s">
        <v>668</v>
      </c>
      <c r="D168" s="7" t="str">
        <f>IF(ISBLANK(_XX29),"",_XX29)</f>
        <v/>
      </c>
    </row>
    <row r="169" spans="1:4" x14ac:dyDescent="0.25">
      <c r="A169" s="7">
        <f t="shared" si="4"/>
        <v>2022</v>
      </c>
      <c r="B169" s="7">
        <f t="shared" si="5"/>
        <v>0</v>
      </c>
      <c r="C169" s="7" t="s">
        <v>669</v>
      </c>
      <c r="D169" s="7" t="str">
        <f>IF(ISBLANK(_XX30),"",_XX30)</f>
        <v/>
      </c>
    </row>
    <row r="170" spans="1:4" x14ac:dyDescent="0.25">
      <c r="A170" s="7">
        <f t="shared" si="4"/>
        <v>2022</v>
      </c>
      <c r="B170" s="7">
        <f t="shared" si="5"/>
        <v>0</v>
      </c>
      <c r="C170" s="7" t="s">
        <v>670</v>
      </c>
      <c r="D170" s="7" t="str">
        <f>IF(ISBLANK(_XX31),"",_XX31)</f>
        <v/>
      </c>
    </row>
    <row r="171" spans="1:4" x14ac:dyDescent="0.25">
      <c r="A171" s="7">
        <f t="shared" si="4"/>
        <v>2022</v>
      </c>
      <c r="B171" s="7">
        <f t="shared" si="5"/>
        <v>0</v>
      </c>
      <c r="C171" s="7" t="s">
        <v>671</v>
      </c>
      <c r="D171" s="7" t="str">
        <f>IF(ISBLANK(_XX32),"",_XX32)</f>
        <v/>
      </c>
    </row>
    <row r="172" spans="1:4" x14ac:dyDescent="0.25">
      <c r="A172" s="7">
        <f t="shared" si="4"/>
        <v>2022</v>
      </c>
      <c r="B172" s="7">
        <f t="shared" si="5"/>
        <v>0</v>
      </c>
      <c r="C172" s="7" t="s">
        <v>672</v>
      </c>
      <c r="D172" s="7" t="str">
        <f>IF(ISBLANK(_XX33),"",_XX33)</f>
        <v/>
      </c>
    </row>
    <row r="173" spans="1:4" x14ac:dyDescent="0.25">
      <c r="A173" s="7">
        <f t="shared" si="4"/>
        <v>2022</v>
      </c>
      <c r="B173" s="7">
        <f t="shared" si="5"/>
        <v>0</v>
      </c>
      <c r="C173" s="7" t="s">
        <v>673</v>
      </c>
      <c r="D173" s="7" t="str">
        <f>IF(ISBLANK(_XX34),"",_XX34)</f>
        <v/>
      </c>
    </row>
    <row r="174" spans="1:4" x14ac:dyDescent="0.25">
      <c r="A174" s="7">
        <f t="shared" si="4"/>
        <v>2022</v>
      </c>
      <c r="B174" s="7">
        <f t="shared" si="5"/>
        <v>0</v>
      </c>
      <c r="C174" s="7" t="s">
        <v>674</v>
      </c>
      <c r="D174" s="7" t="str">
        <f>IF(ISBLANK(_XX35),"",_XX35)</f>
        <v/>
      </c>
    </row>
    <row r="175" spans="1:4" x14ac:dyDescent="0.25">
      <c r="A175" s="7">
        <f t="shared" si="4"/>
        <v>2022</v>
      </c>
      <c r="B175" s="7">
        <f t="shared" si="5"/>
        <v>0</v>
      </c>
      <c r="C175" s="7" t="s">
        <v>459</v>
      </c>
      <c r="D175" s="7" t="str">
        <f>IF(ISBLANK(_BA09),"",_BA09)</f>
        <v/>
      </c>
    </row>
    <row r="176" spans="1:4" x14ac:dyDescent="0.25">
      <c r="A176" s="7">
        <f t="shared" si="4"/>
        <v>2022</v>
      </c>
      <c r="B176" s="7">
        <f t="shared" si="5"/>
        <v>0</v>
      </c>
      <c r="C176" s="7" t="s">
        <v>675</v>
      </c>
      <c r="D176" s="7" t="str">
        <f>IF(ISBLANK(_BA08),"",_BA08)</f>
        <v/>
      </c>
    </row>
    <row r="177" spans="1:4" x14ac:dyDescent="0.25">
      <c r="A177" s="7">
        <f t="shared" si="4"/>
        <v>2022</v>
      </c>
      <c r="B177" s="7">
        <f t="shared" si="5"/>
        <v>0</v>
      </c>
      <c r="C177" s="7" t="s">
        <v>460</v>
      </c>
      <c r="D177" s="7">
        <f>IF(ISBLANK(_BA10),"",_BA10)</f>
        <v>0</v>
      </c>
    </row>
    <row r="178" spans="1:4" x14ac:dyDescent="0.25">
      <c r="A178" s="7">
        <f t="shared" si="4"/>
        <v>2022</v>
      </c>
      <c r="B178" s="7">
        <f t="shared" si="5"/>
        <v>0</v>
      </c>
      <c r="C178" s="7" t="s">
        <v>678</v>
      </c>
      <c r="D178" s="7" t="str">
        <f>IF(ISBLANK(_BA21),"",_BA21)</f>
        <v/>
      </c>
    </row>
    <row r="179" spans="1:4" x14ac:dyDescent="0.25">
      <c r="A179" s="7">
        <f t="shared" si="4"/>
        <v>2022</v>
      </c>
      <c r="B179" s="7">
        <f t="shared" si="5"/>
        <v>0</v>
      </c>
      <c r="C179" s="7" t="s">
        <v>679</v>
      </c>
      <c r="D179" s="7" t="str">
        <f>IF(ISBLANK(_BA22),"",_BA22)</f>
        <v/>
      </c>
    </row>
    <row r="180" spans="1:4" x14ac:dyDescent="0.25">
      <c r="A180" s="7">
        <f t="shared" si="4"/>
        <v>2022</v>
      </c>
      <c r="B180" s="7">
        <f t="shared" si="5"/>
        <v>0</v>
      </c>
      <c r="C180" s="7" t="s">
        <v>680</v>
      </c>
      <c r="D180" s="7" t="str">
        <f>IF(ISBLANK(_BA23),"",_BA23)</f>
        <v/>
      </c>
    </row>
    <row r="181" spans="1:4" x14ac:dyDescent="0.25">
      <c r="A181" s="7">
        <f t="shared" si="4"/>
        <v>2022</v>
      </c>
      <c r="B181" s="7">
        <f t="shared" si="5"/>
        <v>0</v>
      </c>
      <c r="C181" s="7" t="s">
        <v>461</v>
      </c>
      <c r="D181" s="7" t="str">
        <f>IF(ISBLANK(_BA14),"",_BA14)</f>
        <v/>
      </c>
    </row>
    <row r="182" spans="1:4" x14ac:dyDescent="0.25">
      <c r="A182" s="7">
        <f t="shared" si="4"/>
        <v>2022</v>
      </c>
      <c r="B182" s="7">
        <f t="shared" si="5"/>
        <v>0</v>
      </c>
      <c r="C182" s="7" t="s">
        <v>462</v>
      </c>
      <c r="D182" s="7" t="str">
        <f>IF(ISBLANK(_BA15),"",_BA15)</f>
        <v/>
      </c>
    </row>
    <row r="183" spans="1:4" x14ac:dyDescent="0.25">
      <c r="A183" s="7">
        <f t="shared" si="4"/>
        <v>2022</v>
      </c>
      <c r="B183" s="7">
        <f t="shared" si="5"/>
        <v>0</v>
      </c>
      <c r="C183" s="7" t="s">
        <v>681</v>
      </c>
      <c r="D183" s="7">
        <f>IF(ISBLANK(_BA24),"",_BA24)</f>
        <v>0</v>
      </c>
    </row>
    <row r="184" spans="1:4" x14ac:dyDescent="0.25">
      <c r="A184" s="7">
        <f t="shared" si="4"/>
        <v>2022</v>
      </c>
      <c r="B184" s="7">
        <f t="shared" si="5"/>
        <v>0</v>
      </c>
      <c r="C184" s="7" t="s">
        <v>463</v>
      </c>
      <c r="D184" s="7">
        <f>IF(ISBLANK(_BA20),"",_BA20)</f>
        <v>0</v>
      </c>
    </row>
    <row r="185" spans="1:4" x14ac:dyDescent="0.25">
      <c r="A185" s="7">
        <f t="shared" si="4"/>
        <v>2022</v>
      </c>
      <c r="B185" s="7">
        <f t="shared" si="5"/>
        <v>0</v>
      </c>
      <c r="C185" s="7" t="s">
        <v>806</v>
      </c>
      <c r="D185" s="7" t="str">
        <f>IF(ISBLANK(_MW10),"",_MW10)</f>
        <v/>
      </c>
    </row>
    <row r="186" spans="1:4" x14ac:dyDescent="0.25">
      <c r="A186" s="7">
        <f t="shared" si="4"/>
        <v>2022</v>
      </c>
      <c r="B186" s="7">
        <f t="shared" si="5"/>
        <v>0</v>
      </c>
      <c r="C186" s="7" t="s">
        <v>807</v>
      </c>
      <c r="D186" s="7" t="str">
        <f>IF(ISBLANK(_LW10),"",_LW10)</f>
        <v/>
      </c>
    </row>
    <row r="187" spans="1:4" x14ac:dyDescent="0.25">
      <c r="A187" s="7">
        <f t="shared" si="4"/>
        <v>2022</v>
      </c>
      <c r="B187" s="7">
        <f t="shared" si="5"/>
        <v>0</v>
      </c>
      <c r="C187" s="7" t="s">
        <v>808</v>
      </c>
      <c r="D187" s="7" t="str">
        <f>IF(ISBLANK(_LW05),"",_LW05)</f>
        <v/>
      </c>
    </row>
    <row r="188" spans="1:4" x14ac:dyDescent="0.25">
      <c r="A188" s="7">
        <f t="shared" si="4"/>
        <v>2022</v>
      </c>
      <c r="B188" s="7">
        <f t="shared" si="5"/>
        <v>0</v>
      </c>
      <c r="C188" s="7" t="s">
        <v>850</v>
      </c>
      <c r="D188" s="7" t="str">
        <f>IF(ISBLANK(_TEIL),"",_TEIL)</f>
        <v>nur I</v>
      </c>
    </row>
    <row r="189" spans="1:4" x14ac:dyDescent="0.25">
      <c r="A189" s="7">
        <f t="shared" si="4"/>
        <v>2022</v>
      </c>
      <c r="B189" s="7">
        <f t="shared" si="5"/>
        <v>0</v>
      </c>
      <c r="C189" s="7" t="s">
        <v>47</v>
      </c>
      <c r="D189" s="7" t="str">
        <f>IF(ISBLANK(_EN11),"",_EN11)</f>
        <v/>
      </c>
    </row>
    <row r="190" spans="1:4" x14ac:dyDescent="0.25">
      <c r="A190" s="7">
        <f t="shared" si="4"/>
        <v>2022</v>
      </c>
      <c r="B190" s="7">
        <f t="shared" si="5"/>
        <v>0</v>
      </c>
      <c r="C190" s="7" t="s">
        <v>48</v>
      </c>
      <c r="D190" s="7" t="str">
        <f>IF(ISBLANK(_UE05),"",_UE05)</f>
        <v/>
      </c>
    </row>
    <row r="191" spans="1:4" x14ac:dyDescent="0.25">
      <c r="A191" s="7">
        <f t="shared" si="4"/>
        <v>2022</v>
      </c>
      <c r="B191" s="7">
        <f t="shared" si="5"/>
        <v>0</v>
      </c>
      <c r="C191" s="7" t="s">
        <v>1197</v>
      </c>
      <c r="D191" s="7" t="str">
        <f>IF(ISBLANK(_AE01),"",_AE01)</f>
        <v/>
      </c>
    </row>
    <row r="192" spans="1:4" x14ac:dyDescent="0.25">
      <c r="A192" s="7">
        <f t="shared" si="4"/>
        <v>2022</v>
      </c>
      <c r="B192" s="7">
        <f t="shared" si="5"/>
        <v>0</v>
      </c>
      <c r="C192" s="7" t="s">
        <v>1225</v>
      </c>
      <c r="D192" s="7" t="str">
        <f>IF(ISBLANK(_EB01),"",_EB01)</f>
        <v/>
      </c>
    </row>
    <row r="193" spans="1:4" x14ac:dyDescent="0.25">
      <c r="A193" s="7">
        <f t="shared" si="4"/>
        <v>2022</v>
      </c>
      <c r="B193" s="7">
        <f t="shared" si="5"/>
        <v>0</v>
      </c>
      <c r="C193" s="7" t="s">
        <v>1226</v>
      </c>
      <c r="D193" s="7" t="str">
        <f>IF(ISBLANK(_EW01),"",_EW01)</f>
        <v/>
      </c>
    </row>
    <row r="194" spans="1:4" x14ac:dyDescent="0.25">
      <c r="A194" s="7">
        <f t="shared" si="4"/>
        <v>2022</v>
      </c>
      <c r="B194" s="7">
        <f t="shared" si="5"/>
        <v>0</v>
      </c>
      <c r="C194" s="7" t="s">
        <v>1227</v>
      </c>
      <c r="D194" s="7" t="str">
        <f>IF(ISBLANK(_EZ02),"",_EZ02)</f>
        <v/>
      </c>
    </row>
    <row r="195" spans="1:4" x14ac:dyDescent="0.25">
      <c r="A195" s="7">
        <f t="shared" si="4"/>
        <v>2022</v>
      </c>
      <c r="B195" s="7">
        <f t="shared" si="5"/>
        <v>0</v>
      </c>
      <c r="C195" s="7" t="s">
        <v>36</v>
      </c>
      <c r="D195" s="7" t="str">
        <f>IF(ISBLANK(_EA01),"",_EA01)</f>
        <v/>
      </c>
    </row>
    <row r="196" spans="1:4" x14ac:dyDescent="0.25">
      <c r="A196" s="7">
        <f t="shared" si="4"/>
        <v>2022</v>
      </c>
      <c r="B196" s="7">
        <f t="shared" si="5"/>
        <v>0</v>
      </c>
      <c r="C196" s="7" t="s">
        <v>38</v>
      </c>
      <c r="D196" s="7" t="str">
        <f>IF(ISBLANK(_AA01),"",_AA01)</f>
        <v/>
      </c>
    </row>
    <row r="197" spans="1:4" x14ac:dyDescent="0.25">
      <c r="A197" s="7">
        <f t="shared" si="4"/>
        <v>2022</v>
      </c>
      <c r="B197" s="7">
        <f t="shared" si="5"/>
        <v>0</v>
      </c>
      <c r="C197" s="7" t="s">
        <v>39</v>
      </c>
      <c r="D197" s="7" t="str">
        <f>IF(ISBLANK(_AA02),"",_AA02)</f>
        <v/>
      </c>
    </row>
    <row r="198" spans="1:4" x14ac:dyDescent="0.25">
      <c r="A198" s="7">
        <f t="shared" si="4"/>
        <v>2022</v>
      </c>
      <c r="B198" s="7">
        <f t="shared" si="5"/>
        <v>0</v>
      </c>
      <c r="C198" s="7" t="s">
        <v>40</v>
      </c>
      <c r="D198" s="7" t="str">
        <f>IF(ISBLANK(_AA03),"",_AA03)</f>
        <v/>
      </c>
    </row>
    <row r="199" spans="1:4" x14ac:dyDescent="0.25">
      <c r="A199" s="7">
        <f t="shared" si="4"/>
        <v>2022</v>
      </c>
      <c r="B199" s="7">
        <f t="shared" si="5"/>
        <v>0</v>
      </c>
      <c r="C199" s="7" t="s">
        <v>41</v>
      </c>
      <c r="D199" s="7" t="str">
        <f>IF(ISBLANK(_AA04),"",_AA04)</f>
        <v/>
      </c>
    </row>
    <row r="200" spans="1:4" x14ac:dyDescent="0.25">
      <c r="A200" s="7">
        <f t="shared" si="4"/>
        <v>2022</v>
      </c>
      <c r="B200" s="7">
        <f t="shared" si="5"/>
        <v>0</v>
      </c>
      <c r="C200" s="7" t="s">
        <v>45</v>
      </c>
      <c r="D200" s="7" t="str">
        <f>IF(ISBLANK(_AS04),"",_AS04)</f>
        <v/>
      </c>
    </row>
    <row r="201" spans="1:4" x14ac:dyDescent="0.25">
      <c r="A201" s="7">
        <f t="shared" si="4"/>
        <v>2022</v>
      </c>
      <c r="B201" s="7">
        <f t="shared" si="5"/>
        <v>0</v>
      </c>
      <c r="C201" s="7" t="s">
        <v>336</v>
      </c>
      <c r="D201" s="7" t="str">
        <f>IF(ISBLANK(_LW06),"",_LW06)</f>
        <v/>
      </c>
    </row>
    <row r="202" spans="1:4" x14ac:dyDescent="0.25">
      <c r="A202" s="7">
        <f>_JAHR</f>
        <v>2022</v>
      </c>
      <c r="B202" s="7">
        <f>_UKZ</f>
        <v>0</v>
      </c>
      <c r="C202" s="7" t="s">
        <v>337</v>
      </c>
      <c r="D202" s="7" t="str">
        <f>IF(ISBLANK(_LW07),"",_LW07)</f>
        <v/>
      </c>
    </row>
    <row r="203" spans="1:4" x14ac:dyDescent="0.25">
      <c r="A203" s="7">
        <f>_JAHR</f>
        <v>2022</v>
      </c>
      <c r="B203" s="7">
        <f>_UKZ</f>
        <v>0</v>
      </c>
      <c r="C203" s="7" t="s">
        <v>348</v>
      </c>
      <c r="D203" s="7" t="str">
        <f>IF(ISBLANK(_LW08),"",_LW08)</f>
        <v/>
      </c>
    </row>
    <row r="204" spans="1:4" x14ac:dyDescent="0.25">
      <c r="A204" s="7">
        <f>_JAHR</f>
        <v>2022</v>
      </c>
      <c r="B204" s="7">
        <f>_UKZ</f>
        <v>0</v>
      </c>
      <c r="C204" s="7" t="s">
        <v>65</v>
      </c>
      <c r="D204" s="7" t="str">
        <f>IF(ISBLANK(_LW09),"",_LW09)</f>
        <v/>
      </c>
    </row>
    <row r="205" spans="1:4" x14ac:dyDescent="0.25">
      <c r="A205" s="7">
        <f t="shared" ref="A205:A251" si="6">_JAHR</f>
        <v>2022</v>
      </c>
      <c r="B205" s="7">
        <f t="shared" ref="B205:B255" si="7">_UKZ</f>
        <v>0</v>
      </c>
      <c r="C205" s="7" t="s">
        <v>338</v>
      </c>
      <c r="D205" s="7" t="str">
        <f>IF(ISBLANK(_AV12),"",_AV12)</f>
        <v/>
      </c>
    </row>
    <row r="206" spans="1:4" x14ac:dyDescent="0.25">
      <c r="A206" s="7">
        <f t="shared" si="6"/>
        <v>2022</v>
      </c>
      <c r="B206" s="7">
        <f t="shared" si="7"/>
        <v>0</v>
      </c>
      <c r="C206" s="7" t="s">
        <v>339</v>
      </c>
      <c r="D206" s="7" t="str">
        <f>IF(ISBLANK(_AV13),"",_AV13)</f>
        <v/>
      </c>
    </row>
    <row r="207" spans="1:4" x14ac:dyDescent="0.25">
      <c r="A207" s="7">
        <f t="shared" si="6"/>
        <v>2022</v>
      </c>
      <c r="B207" s="7">
        <f t="shared" si="7"/>
        <v>0</v>
      </c>
      <c r="C207" s="7" t="s">
        <v>340</v>
      </c>
      <c r="D207" s="7" t="str">
        <f>IF(ISBLANK(_AV14),"",_AV14)</f>
        <v/>
      </c>
    </row>
    <row r="208" spans="1:4" x14ac:dyDescent="0.25">
      <c r="A208" s="7">
        <f t="shared" si="6"/>
        <v>2022</v>
      </c>
      <c r="B208" s="7">
        <f t="shared" si="7"/>
        <v>0</v>
      </c>
      <c r="C208" s="7" t="s">
        <v>341</v>
      </c>
      <c r="D208" s="7" t="str">
        <f>IF(ISBLANK(_AV15),"",_AV15)</f>
        <v/>
      </c>
    </row>
    <row r="209" spans="1:5" x14ac:dyDescent="0.25">
      <c r="A209" s="7">
        <f t="shared" si="6"/>
        <v>2022</v>
      </c>
      <c r="B209" s="7">
        <f t="shared" si="7"/>
        <v>0</v>
      </c>
      <c r="C209" s="7" t="s">
        <v>350</v>
      </c>
      <c r="D209" s="7">
        <f>IF(ISBLANK(_SP11),"",_SP11)</f>
        <v>0</v>
      </c>
    </row>
    <row r="210" spans="1:5" x14ac:dyDescent="0.25">
      <c r="A210" s="7">
        <f t="shared" si="6"/>
        <v>2022</v>
      </c>
      <c r="B210" s="7">
        <f t="shared" si="7"/>
        <v>0</v>
      </c>
      <c r="C210" s="7" t="s">
        <v>342</v>
      </c>
      <c r="D210" s="7" t="str">
        <f>IF(ISBLANK(_UV25),"",_UV25)</f>
        <v/>
      </c>
    </row>
    <row r="211" spans="1:5" x14ac:dyDescent="0.25">
      <c r="A211" s="7">
        <f t="shared" si="6"/>
        <v>2022</v>
      </c>
      <c r="B211" s="7">
        <f t="shared" si="7"/>
        <v>0</v>
      </c>
      <c r="C211" s="7" t="s">
        <v>344</v>
      </c>
      <c r="D211" s="7" t="str">
        <f>IF(ISBLANK(_UV23),"",_UV23)</f>
        <v/>
      </c>
    </row>
    <row r="212" spans="1:5" x14ac:dyDescent="0.25">
      <c r="A212" s="7">
        <f t="shared" si="6"/>
        <v>2022</v>
      </c>
      <c r="B212" s="7">
        <f t="shared" si="7"/>
        <v>0</v>
      </c>
      <c r="C212" s="7" t="s">
        <v>346</v>
      </c>
      <c r="D212" s="7" t="str">
        <f>IF(ISBLANK(_UV24),"",_UV24)</f>
        <v/>
      </c>
    </row>
    <row r="213" spans="1:5" x14ac:dyDescent="0.25">
      <c r="A213" s="7">
        <f t="shared" si="6"/>
        <v>2022</v>
      </c>
      <c r="B213" s="7">
        <f t="shared" si="7"/>
        <v>0</v>
      </c>
      <c r="C213" s="7" t="s">
        <v>354</v>
      </c>
      <c r="D213" s="7" t="str">
        <f>IF(ISBLANK(_SE08),"",_SE08)</f>
        <v/>
      </c>
    </row>
    <row r="214" spans="1:5" x14ac:dyDescent="0.25">
      <c r="A214" s="7">
        <f t="shared" si="6"/>
        <v>2022</v>
      </c>
      <c r="B214" s="7">
        <f t="shared" si="7"/>
        <v>0</v>
      </c>
      <c r="C214" s="7" t="s">
        <v>355</v>
      </c>
      <c r="D214" s="7" t="str">
        <f>IF(ISBLANK(_AS03),"",_AS03)</f>
        <v/>
      </c>
    </row>
    <row r="215" spans="1:5" x14ac:dyDescent="0.25">
      <c r="A215" s="7">
        <f t="shared" si="6"/>
        <v>2022</v>
      </c>
      <c r="B215" s="7">
        <f t="shared" si="7"/>
        <v>0</v>
      </c>
      <c r="C215" s="7" t="s">
        <v>356</v>
      </c>
      <c r="D215" s="7" t="str">
        <f>IF(ISBLANK(_MW11),"",_MW11)</f>
        <v/>
      </c>
    </row>
    <row r="216" spans="1:5" s="7" customFormat="1" x14ac:dyDescent="0.25">
      <c r="A216" s="7">
        <f t="shared" si="6"/>
        <v>2022</v>
      </c>
      <c r="B216" s="7">
        <f t="shared" si="7"/>
        <v>0</v>
      </c>
      <c r="C216" s="7" t="s">
        <v>44</v>
      </c>
      <c r="D216" s="7" t="str">
        <f>IF(ISBLANK(_REGN),"",_REGN)</f>
        <v/>
      </c>
    </row>
    <row r="217" spans="1:5" x14ac:dyDescent="0.25">
      <c r="A217" s="7">
        <f t="shared" si="6"/>
        <v>2022</v>
      </c>
      <c r="B217" s="7">
        <f t="shared" si="7"/>
        <v>0</v>
      </c>
      <c r="C217" s="7" t="s">
        <v>349</v>
      </c>
      <c r="D217" s="7" t="str">
        <f>IF(ISBLANK(_BULA),"",_BULA)</f>
        <v/>
      </c>
    </row>
    <row r="218" spans="1:5" x14ac:dyDescent="0.25">
      <c r="A218" s="7">
        <f t="shared" si="6"/>
        <v>2022</v>
      </c>
      <c r="B218" s="7">
        <f t="shared" si="7"/>
        <v>0</v>
      </c>
      <c r="C218" s="7" t="s">
        <v>15</v>
      </c>
      <c r="D218" s="7" t="str">
        <f>IF(ISBLANK(_EIGT),"",_EIGT)</f>
        <v/>
      </c>
      <c r="E218" s="7"/>
    </row>
    <row r="219" spans="1:5" x14ac:dyDescent="0.25">
      <c r="A219" s="7">
        <f t="shared" si="6"/>
        <v>2022</v>
      </c>
      <c r="B219" s="7">
        <f t="shared" si="7"/>
        <v>0</v>
      </c>
      <c r="C219" s="7" t="s">
        <v>16</v>
      </c>
      <c r="D219" s="7" t="str">
        <f>IF(ISBLANK(_TAET),"",_TAET)</f>
        <v/>
      </c>
      <c r="E219" s="7"/>
    </row>
    <row r="220" spans="1:5" s="7" customFormat="1" x14ac:dyDescent="0.25">
      <c r="A220" s="7">
        <f t="shared" si="6"/>
        <v>2022</v>
      </c>
      <c r="B220" s="7">
        <f t="shared" si="7"/>
        <v>0</v>
      </c>
      <c r="C220" s="7" t="s">
        <v>17</v>
      </c>
      <c r="D220" s="7" t="str">
        <f>IF(ISBLANK(_KV08),"",_KV08)</f>
        <v/>
      </c>
    </row>
    <row r="221" spans="1:5" s="7" customFormat="1" x14ac:dyDescent="0.25">
      <c r="A221" s="7">
        <f t="shared" si="6"/>
        <v>2022</v>
      </c>
      <c r="B221" s="7">
        <f t="shared" si="7"/>
        <v>0</v>
      </c>
      <c r="C221" s="7" t="s">
        <v>18</v>
      </c>
      <c r="D221" s="7" t="str">
        <f>IF(ISBLANK(_KV09),"",_KV09)</f>
        <v/>
      </c>
    </row>
    <row r="222" spans="1:5" x14ac:dyDescent="0.25">
      <c r="A222" s="7">
        <f t="shared" si="6"/>
        <v>2022</v>
      </c>
      <c r="B222" s="7">
        <f t="shared" si="7"/>
        <v>0</v>
      </c>
      <c r="C222" s="7" t="s">
        <v>34</v>
      </c>
      <c r="D222" s="7" t="str">
        <f>IF(ISBLANK(_UE50),"",_UE50)</f>
        <v/>
      </c>
      <c r="E222" s="7"/>
    </row>
    <row r="223" spans="1:5" s="7" customFormat="1" x14ac:dyDescent="0.25">
      <c r="A223" s="7">
        <f t="shared" si="6"/>
        <v>2022</v>
      </c>
      <c r="B223" s="7">
        <f t="shared" si="7"/>
        <v>0</v>
      </c>
      <c r="C223" s="7" t="s">
        <v>20</v>
      </c>
      <c r="D223" s="7" t="str">
        <f>IF(ISBLANK(_SE05),"",_SE05)</f>
        <v/>
      </c>
    </row>
    <row r="224" spans="1:5" x14ac:dyDescent="0.25">
      <c r="A224" s="7">
        <f t="shared" si="6"/>
        <v>2022</v>
      </c>
      <c r="B224" s="7">
        <f t="shared" si="7"/>
        <v>0</v>
      </c>
      <c r="C224" s="7" t="s">
        <v>23</v>
      </c>
      <c r="D224" s="7" t="str">
        <f>IF(ISBLANK(_IK03),"",_IK03)</f>
        <v/>
      </c>
      <c r="E224" s="7"/>
    </row>
    <row r="225" spans="1:5" x14ac:dyDescent="0.25">
      <c r="A225" s="7">
        <f t="shared" si="6"/>
        <v>2022</v>
      </c>
      <c r="B225" s="7">
        <f t="shared" si="7"/>
        <v>0</v>
      </c>
      <c r="C225" s="7" t="s">
        <v>24</v>
      </c>
      <c r="D225" s="7" t="str">
        <f>IF(ISBLANK(_AS05),"",_AS05)</f>
        <v/>
      </c>
      <c r="E225" s="7"/>
    </row>
    <row r="226" spans="1:5" x14ac:dyDescent="0.25">
      <c r="A226" s="7">
        <f t="shared" si="6"/>
        <v>2022</v>
      </c>
      <c r="B226" s="7">
        <f t="shared" si="7"/>
        <v>0</v>
      </c>
      <c r="C226" s="7" t="s">
        <v>26</v>
      </c>
      <c r="D226" s="7" t="str">
        <f>IF(ISBLANK(_SA05),"",_SA05)</f>
        <v/>
      </c>
      <c r="E226" s="7"/>
    </row>
    <row r="227" spans="1:5" s="7" customFormat="1" x14ac:dyDescent="0.25">
      <c r="A227" s="7">
        <f t="shared" si="6"/>
        <v>2022</v>
      </c>
      <c r="B227" s="7">
        <f t="shared" si="7"/>
        <v>0</v>
      </c>
      <c r="C227" s="7" t="s">
        <v>858</v>
      </c>
      <c r="D227" s="7" t="str">
        <f>IF(ISBLANK(_RA02),"",_RA02)</f>
        <v/>
      </c>
    </row>
    <row r="228" spans="1:5" s="7" customFormat="1" x14ac:dyDescent="0.25">
      <c r="A228" s="7">
        <f t="shared" si="6"/>
        <v>2022</v>
      </c>
      <c r="B228" s="7">
        <f t="shared" si="7"/>
        <v>0</v>
      </c>
      <c r="C228" s="7" t="s">
        <v>1274</v>
      </c>
      <c r="D228" s="7" t="str">
        <f>IF(ISBLANK(_EN12),"",_EN12)</f>
        <v/>
      </c>
    </row>
    <row r="229" spans="1:5" s="7" customFormat="1" x14ac:dyDescent="0.25">
      <c r="A229" s="7">
        <f t="shared" si="6"/>
        <v>2022</v>
      </c>
      <c r="B229" s="7">
        <f t="shared" si="7"/>
        <v>0</v>
      </c>
      <c r="C229" s="7" t="s">
        <v>1275</v>
      </c>
      <c r="D229" s="7" t="str">
        <f>IF(ISBLANK(_EN13),"",_EN13)</f>
        <v/>
      </c>
    </row>
    <row r="230" spans="1:5" s="7" customFormat="1" x14ac:dyDescent="0.25">
      <c r="A230" s="7">
        <f t="shared" si="6"/>
        <v>2022</v>
      </c>
      <c r="B230" s="7">
        <f t="shared" si="7"/>
        <v>0</v>
      </c>
      <c r="C230" s="7" t="s">
        <v>1202</v>
      </c>
      <c r="D230" s="7" t="str">
        <f>IF(ISBLANK(_AV16),"",_AV16)</f>
        <v/>
      </c>
    </row>
    <row r="231" spans="1:5" s="7" customFormat="1" x14ac:dyDescent="0.25">
      <c r="A231" s="7">
        <f t="shared" si="6"/>
        <v>2022</v>
      </c>
      <c r="B231" s="7">
        <f t="shared" si="7"/>
        <v>0</v>
      </c>
      <c r="C231" s="7" t="s">
        <v>1097</v>
      </c>
      <c r="D231" s="7">
        <f>IF(ISBLANK(_IK10),"",_IK10)</f>
        <v>0</v>
      </c>
    </row>
    <row r="232" spans="1:5" s="7" customFormat="1" x14ac:dyDescent="0.25">
      <c r="A232" s="7">
        <f t="shared" si="6"/>
        <v>2022</v>
      </c>
      <c r="B232" s="7">
        <f t="shared" si="7"/>
        <v>0</v>
      </c>
      <c r="C232" s="7" t="s">
        <v>475</v>
      </c>
      <c r="D232" s="7">
        <f>IF(_K14&lt;=0,0,_K14)</f>
        <v>0</v>
      </c>
    </row>
    <row r="233" spans="1:5" s="7" customFormat="1" x14ac:dyDescent="0.25">
      <c r="A233" s="7">
        <f t="shared" si="6"/>
        <v>2022</v>
      </c>
      <c r="B233" s="7">
        <f t="shared" si="7"/>
        <v>0</v>
      </c>
      <c r="C233" s="7" t="s">
        <v>476</v>
      </c>
      <c r="D233" s="7">
        <f>IF(_K14C&lt;=0,0,_K14C)</f>
        <v>0</v>
      </c>
    </row>
    <row r="234" spans="1:5" s="7" customFormat="1" x14ac:dyDescent="0.25">
      <c r="A234" s="7">
        <f t="shared" si="6"/>
        <v>2022</v>
      </c>
      <c r="B234" s="7">
        <f t="shared" si="7"/>
        <v>0</v>
      </c>
      <c r="C234" s="7" t="s">
        <v>1100</v>
      </c>
      <c r="D234" s="7" t="str">
        <f>IF(ISBLANK(_VERK01),"",_VERK01)</f>
        <v/>
      </c>
    </row>
    <row r="235" spans="1:5" s="7" customFormat="1" x14ac:dyDescent="0.25">
      <c r="A235" s="7">
        <f t="shared" si="6"/>
        <v>2022</v>
      </c>
      <c r="B235" s="7">
        <f t="shared" si="7"/>
        <v>0</v>
      </c>
      <c r="C235" s="7" t="s">
        <v>1101</v>
      </c>
      <c r="D235" s="7" t="str">
        <f>IF(ISBLANK(_VERK02),"",_VERK02)</f>
        <v/>
      </c>
    </row>
    <row r="236" spans="1:5" s="7" customFormat="1" x14ac:dyDescent="0.25">
      <c r="A236" s="7">
        <f t="shared" si="6"/>
        <v>2022</v>
      </c>
      <c r="B236" s="7">
        <f t="shared" si="7"/>
        <v>0</v>
      </c>
      <c r="C236" s="7" t="s">
        <v>1102</v>
      </c>
      <c r="D236" s="7" t="str">
        <f>IF(ISBLANK(_VERK03),"",_VERK03)</f>
        <v/>
      </c>
    </row>
    <row r="237" spans="1:5" s="7" customFormat="1" x14ac:dyDescent="0.25">
      <c r="A237" s="7">
        <f t="shared" si="6"/>
        <v>2022</v>
      </c>
      <c r="B237" s="7">
        <f t="shared" si="7"/>
        <v>0</v>
      </c>
      <c r="C237" s="7" t="s">
        <v>1103</v>
      </c>
      <c r="D237" s="7" t="str">
        <f>IF(ISBLANK(_VERK04),"",_VERK04)</f>
        <v/>
      </c>
    </row>
    <row r="238" spans="1:5" s="7" customFormat="1" x14ac:dyDescent="0.25">
      <c r="A238" s="7">
        <f t="shared" si="6"/>
        <v>2022</v>
      </c>
      <c r="B238" s="7">
        <f t="shared" si="7"/>
        <v>0</v>
      </c>
      <c r="C238" s="7" t="s">
        <v>1106</v>
      </c>
      <c r="D238" s="7">
        <f>IF(ISBLANK(_RBAU),"",_RBAU)</f>
        <v>0</v>
      </c>
    </row>
    <row r="239" spans="1:5" s="7" customFormat="1" x14ac:dyDescent="0.25">
      <c r="A239" s="7">
        <f t="shared" si="6"/>
        <v>2022</v>
      </c>
      <c r="B239" s="7">
        <f t="shared" si="7"/>
        <v>0</v>
      </c>
      <c r="C239" s="7" t="s">
        <v>609</v>
      </c>
      <c r="D239" s="7" t="str">
        <f>IF(ISBLANK(_LR09A),"",_LR09A)</f>
        <v/>
      </c>
    </row>
    <row r="240" spans="1:5" s="7" customFormat="1" x14ac:dyDescent="0.25">
      <c r="A240" s="7">
        <f t="shared" si="6"/>
        <v>2022</v>
      </c>
      <c r="B240" s="7">
        <f t="shared" si="7"/>
        <v>0</v>
      </c>
      <c r="C240" s="7" t="s">
        <v>611</v>
      </c>
      <c r="D240" s="7" t="str">
        <f>IF(ISBLANK(_SE07),"",_SE07)</f>
        <v/>
      </c>
    </row>
    <row r="241" spans="1:4" s="7" customFormat="1" x14ac:dyDescent="0.25">
      <c r="A241" s="7">
        <f t="shared" si="6"/>
        <v>2022</v>
      </c>
      <c r="B241" s="7">
        <f t="shared" si="7"/>
        <v>0</v>
      </c>
      <c r="C241" s="7" t="s">
        <v>612</v>
      </c>
      <c r="D241" s="7" t="str">
        <f>IF(ISBLANK(_SE09),"",_SE09)</f>
        <v/>
      </c>
    </row>
    <row r="242" spans="1:4" s="7" customFormat="1" x14ac:dyDescent="0.25">
      <c r="A242" s="7">
        <f t="shared" si="6"/>
        <v>2022</v>
      </c>
      <c r="B242" s="7">
        <f t="shared" si="7"/>
        <v>0</v>
      </c>
      <c r="C242" s="7" t="s">
        <v>361</v>
      </c>
      <c r="D242" s="7" t="str">
        <f>IF(ISBLANK(_ANK01),"",_ANK01)</f>
        <v/>
      </c>
    </row>
    <row r="243" spans="1:4" s="7" customFormat="1" x14ac:dyDescent="0.25">
      <c r="A243" s="7">
        <f t="shared" si="6"/>
        <v>2022</v>
      </c>
      <c r="B243" s="7">
        <f t="shared" si="7"/>
        <v>0</v>
      </c>
      <c r="C243" s="7" t="s">
        <v>362</v>
      </c>
      <c r="D243" s="7" t="str">
        <f>IF(ISBLANK(_ANK02),"",_ANK02)</f>
        <v/>
      </c>
    </row>
    <row r="244" spans="1:4" s="7" customFormat="1" x14ac:dyDescent="0.25">
      <c r="A244" s="7">
        <f t="shared" si="6"/>
        <v>2022</v>
      </c>
      <c r="B244" s="7">
        <f t="shared" si="7"/>
        <v>0</v>
      </c>
      <c r="C244" s="7" t="s">
        <v>853</v>
      </c>
      <c r="D244" s="7" t="str">
        <f>IF(ISBLANK(_UE08),"",_UE08)</f>
        <v/>
      </c>
    </row>
    <row r="245" spans="1:4" s="7" customFormat="1" x14ac:dyDescent="0.25">
      <c r="A245" s="7">
        <f t="shared" si="6"/>
        <v>2022</v>
      </c>
      <c r="B245" s="7">
        <f t="shared" si="7"/>
        <v>0</v>
      </c>
      <c r="C245" s="7" t="s">
        <v>622</v>
      </c>
      <c r="D245" s="7" t="str">
        <f>IF(ISBLANK(_UE07),"",_UE07)</f>
        <v/>
      </c>
    </row>
    <row r="246" spans="1:4" s="7" customFormat="1" x14ac:dyDescent="0.25">
      <c r="A246" s="7">
        <f t="shared" si="6"/>
        <v>2022</v>
      </c>
      <c r="B246" s="7">
        <f t="shared" si="7"/>
        <v>0</v>
      </c>
      <c r="C246" s="7" t="s">
        <v>1133</v>
      </c>
      <c r="D246" s="7" t="str">
        <f>IF(ISBLANK(_AV17),"",_AV17)</f>
        <v/>
      </c>
    </row>
    <row r="247" spans="1:4" s="7" customFormat="1" x14ac:dyDescent="0.25">
      <c r="A247" s="7">
        <f t="shared" si="6"/>
        <v>2022</v>
      </c>
      <c r="B247" s="7">
        <f t="shared" si="7"/>
        <v>0</v>
      </c>
      <c r="C247" s="7" t="s">
        <v>1137</v>
      </c>
      <c r="D247" s="7" t="str">
        <f>IF(ISBLANK(_HA12),"",_HA12)</f>
        <v/>
      </c>
    </row>
    <row r="248" spans="1:4" s="7" customFormat="1" x14ac:dyDescent="0.25">
      <c r="A248" s="7">
        <f t="shared" si="6"/>
        <v>2022</v>
      </c>
      <c r="B248" s="7">
        <f t="shared" si="7"/>
        <v>0</v>
      </c>
      <c r="C248" s="7" t="s">
        <v>1241</v>
      </c>
      <c r="D248" s="7" t="str">
        <f>IF(ISBLANK(_UE51),"",_UE51)</f>
        <v/>
      </c>
    </row>
    <row r="249" spans="1:4" s="222" customFormat="1" x14ac:dyDescent="0.25">
      <c r="A249" s="7">
        <f t="shared" si="6"/>
        <v>2022</v>
      </c>
      <c r="B249" s="7">
        <f t="shared" si="7"/>
        <v>0</v>
      </c>
      <c r="C249" s="7" t="s">
        <v>777</v>
      </c>
      <c r="D249" s="7" t="str">
        <f>IF(ISBLANK(_SE11),"",_SE11)</f>
        <v/>
      </c>
    </row>
    <row r="250" spans="1:4" s="222" customFormat="1" x14ac:dyDescent="0.25">
      <c r="A250" s="7">
        <f t="shared" si="6"/>
        <v>2022</v>
      </c>
      <c r="B250" s="7">
        <f t="shared" si="7"/>
        <v>0</v>
      </c>
      <c r="C250" s="7" t="s">
        <v>779</v>
      </c>
      <c r="D250" s="7" t="str">
        <f>IF(ISBLANK(_SE12),"",_SE12)</f>
        <v/>
      </c>
    </row>
    <row r="251" spans="1:4" s="222" customFormat="1" x14ac:dyDescent="0.25">
      <c r="A251" s="7">
        <f t="shared" si="6"/>
        <v>2022</v>
      </c>
      <c r="B251" s="7">
        <f t="shared" si="7"/>
        <v>0</v>
      </c>
      <c r="C251" s="7" t="s">
        <v>781</v>
      </c>
      <c r="D251" s="7" t="str">
        <f>IF(ISBLANK(_SA11),"",_SA11)</f>
        <v/>
      </c>
    </row>
    <row r="252" spans="1:4" x14ac:dyDescent="0.25">
      <c r="A252" s="7">
        <f t="shared" ref="A252:A257" si="8">_JAHR</f>
        <v>2022</v>
      </c>
      <c r="B252" s="7">
        <f t="shared" si="7"/>
        <v>0</v>
      </c>
      <c r="C252" s="7" t="s">
        <v>871</v>
      </c>
      <c r="D252" s="7" t="str">
        <f>IF(ISBLANK(_BILF),"",_BILF)</f>
        <v/>
      </c>
    </row>
    <row r="253" spans="1:4" x14ac:dyDescent="0.25">
      <c r="A253" s="7">
        <f t="shared" si="8"/>
        <v>2022</v>
      </c>
      <c r="B253" s="7">
        <f t="shared" si="7"/>
        <v>0</v>
      </c>
      <c r="C253" s="7" t="s">
        <v>1305</v>
      </c>
      <c r="D253" s="7" t="str">
        <f>IF(ISBLANK(_SL20),"",_SL20)</f>
        <v/>
      </c>
    </row>
    <row r="254" spans="1:4" x14ac:dyDescent="0.25">
      <c r="A254" s="7">
        <f t="shared" si="8"/>
        <v>2022</v>
      </c>
      <c r="B254" s="7">
        <f t="shared" si="7"/>
        <v>0</v>
      </c>
      <c r="C254" s="7" t="s">
        <v>1311</v>
      </c>
      <c r="D254" s="7" t="str">
        <f>IF(ISBLANK(_XX60),"",_XX60)</f>
        <v/>
      </c>
    </row>
    <row r="255" spans="1:4" x14ac:dyDescent="0.25">
      <c r="A255" s="7">
        <f t="shared" si="8"/>
        <v>2022</v>
      </c>
      <c r="B255" s="7">
        <f t="shared" si="7"/>
        <v>0</v>
      </c>
      <c r="C255" s="7" t="s">
        <v>1787</v>
      </c>
      <c r="D255" s="7" t="str">
        <f>IF(ISBLANK(_ZA06),"",_ZA06)</f>
        <v/>
      </c>
    </row>
    <row r="256" spans="1:4" x14ac:dyDescent="0.25">
      <c r="A256" s="7">
        <f t="shared" si="8"/>
        <v>2022</v>
      </c>
      <c r="B256" s="7">
        <f>_UKZ</f>
        <v>0</v>
      </c>
      <c r="C256" s="7" t="s">
        <v>1871</v>
      </c>
      <c r="D256" s="7" t="str">
        <f>IF(ISBLANK(_INV02),"",_INV02)</f>
        <v/>
      </c>
    </row>
    <row r="257" spans="1:4" ht="13" x14ac:dyDescent="0.3">
      <c r="A257" s="49">
        <f t="shared" si="8"/>
        <v>2022</v>
      </c>
      <c r="B257" s="49">
        <f>_UKZ</f>
        <v>0</v>
      </c>
      <c r="C257" s="49" t="s">
        <v>1878</v>
      </c>
      <c r="D257" s="7" t="str">
        <f>IF(ISBLANK(_SPAR),"",_SPAR)</f>
        <v/>
      </c>
    </row>
  </sheetData>
  <sheetProtection password="92CE" sheet="1"/>
  <phoneticPr fontId="0" type="noConversion"/>
  <pageMargins left="0.78740157499999996" right="0.78740157499999996" top="0.984251969" bottom="0.984251969" header="0.4921259845" footer="0.4921259845"/>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0">
    <pageSetUpPr fitToPage="1"/>
  </sheetPr>
  <dimension ref="B2:H89"/>
  <sheetViews>
    <sheetView showGridLines="0" zoomScaleNormal="100" workbookViewId="0">
      <selection activeCell="D7" sqref="D7"/>
    </sheetView>
  </sheetViews>
  <sheetFormatPr baseColWidth="10" defaultRowHeight="12.5" x14ac:dyDescent="0.25"/>
  <cols>
    <col min="1" max="1" width="4.26953125" customWidth="1"/>
    <col min="2" max="2" width="72.26953125" customWidth="1"/>
    <col min="3" max="3" width="1.26953125" customWidth="1"/>
    <col min="4" max="4" width="16.7265625" customWidth="1"/>
    <col min="5" max="5" width="5.54296875" bestFit="1" customWidth="1"/>
    <col min="6" max="6" width="3.26953125" customWidth="1"/>
    <col min="7" max="7" width="30.54296875" customWidth="1"/>
    <col min="8" max="8" width="4.26953125" customWidth="1"/>
  </cols>
  <sheetData>
    <row r="2" spans="2:8" ht="14" x14ac:dyDescent="0.3">
      <c r="B2" s="139" t="s">
        <v>1203</v>
      </c>
    </row>
    <row r="3" spans="2:8" ht="10" customHeight="1" x14ac:dyDescent="0.25"/>
    <row r="4" spans="2:8" ht="13" x14ac:dyDescent="0.3">
      <c r="B4" s="12" t="s">
        <v>1204</v>
      </c>
    </row>
    <row r="5" spans="2:8" ht="10" customHeight="1" x14ac:dyDescent="0.25"/>
    <row r="6" spans="2:8" ht="13" x14ac:dyDescent="0.3">
      <c r="B6" s="9" t="s">
        <v>1205</v>
      </c>
      <c r="C6" s="1"/>
      <c r="D6" s="138" t="str">
        <f>IF(_WAEH=2,"volle DM","volle EURO")</f>
        <v>volle EURO</v>
      </c>
      <c r="H6" s="1"/>
    </row>
    <row r="7" spans="2:8" ht="15" customHeight="1" x14ac:dyDescent="0.25">
      <c r="B7" t="s">
        <v>568</v>
      </c>
      <c r="D7" s="61"/>
      <c r="E7" s="10" t="s">
        <v>376</v>
      </c>
      <c r="G7" s="340"/>
    </row>
    <row r="8" spans="2:8" ht="10" customHeight="1" x14ac:dyDescent="0.25">
      <c r="G8" s="155"/>
    </row>
    <row r="9" spans="2:8" x14ac:dyDescent="0.25">
      <c r="B9" s="7" t="s">
        <v>94</v>
      </c>
      <c r="D9" s="138" t="str">
        <f>IF(_WAEH=2,"volle DM","volle EURO")</f>
        <v>volle EURO</v>
      </c>
      <c r="G9" s="155"/>
    </row>
    <row r="10" spans="2:8" hidden="1" x14ac:dyDescent="0.25">
      <c r="B10" s="7" t="s">
        <v>767</v>
      </c>
      <c r="D10" s="18"/>
      <c r="E10" s="10" t="s">
        <v>377</v>
      </c>
      <c r="G10" s="155"/>
    </row>
    <row r="11" spans="2:8" ht="15" customHeight="1" x14ac:dyDescent="0.25">
      <c r="B11" s="138" t="s">
        <v>768</v>
      </c>
      <c r="D11" s="61"/>
      <c r="E11" s="10" t="s">
        <v>378</v>
      </c>
      <c r="G11" s="340"/>
    </row>
    <row r="12" spans="2:8" x14ac:dyDescent="0.25">
      <c r="B12" s="7"/>
      <c r="G12" s="155"/>
    </row>
    <row r="13" spans="2:8" x14ac:dyDescent="0.25">
      <c r="B13" s="9" t="s">
        <v>1206</v>
      </c>
      <c r="D13" s="138" t="str">
        <f>IF(_WAEH=2,"volle DM","volle EURO")</f>
        <v>volle EURO</v>
      </c>
      <c r="G13" s="155"/>
    </row>
    <row r="14" spans="2:8" x14ac:dyDescent="0.25">
      <c r="B14" s="9"/>
      <c r="D14" s="138"/>
      <c r="G14" s="155"/>
    </row>
    <row r="15" spans="2:8" ht="12.75" customHeight="1" x14ac:dyDescent="0.25">
      <c r="B15" t="s">
        <v>93</v>
      </c>
      <c r="D15" s="138" t="str">
        <f>IF(_WAEH=2,"volle DM","volle EURO")</f>
        <v>volle EURO</v>
      </c>
      <c r="G15" s="155"/>
    </row>
    <row r="16" spans="2:8" ht="15" customHeight="1" x14ac:dyDescent="0.25">
      <c r="B16" s="138" t="s">
        <v>768</v>
      </c>
      <c r="D16" s="61"/>
      <c r="E16" s="10" t="s">
        <v>381</v>
      </c>
      <c r="G16" s="340"/>
    </row>
    <row r="17" spans="2:8" ht="9" customHeight="1" x14ac:dyDescent="0.25">
      <c r="B17" s="138"/>
      <c r="D17" s="26"/>
      <c r="G17" s="155"/>
    </row>
    <row r="18" spans="2:8" ht="12.75" customHeight="1" x14ac:dyDescent="0.25">
      <c r="B18" s="7" t="s">
        <v>769</v>
      </c>
      <c r="D18" s="138" t="str">
        <f>IF(_WAEH=2,"volle DM","volle EURO")</f>
        <v>volle EURO</v>
      </c>
      <c r="G18" s="155"/>
    </row>
    <row r="19" spans="2:8" ht="12.75" hidden="1" customHeight="1" x14ac:dyDescent="0.25">
      <c r="B19" s="7" t="s">
        <v>767</v>
      </c>
      <c r="D19" s="18"/>
      <c r="E19" s="10" t="s">
        <v>382</v>
      </c>
      <c r="G19" s="155"/>
    </row>
    <row r="20" spans="2:8" ht="15" customHeight="1" x14ac:dyDescent="0.25">
      <c r="B20" s="138" t="s">
        <v>768</v>
      </c>
      <c r="D20" s="61"/>
      <c r="E20" s="10" t="s">
        <v>383</v>
      </c>
      <c r="G20" s="340"/>
    </row>
    <row r="21" spans="2:8" ht="12.75" customHeight="1" x14ac:dyDescent="0.25">
      <c r="B21" s="138"/>
      <c r="D21" s="206"/>
      <c r="E21" s="166"/>
      <c r="G21" s="155"/>
    </row>
    <row r="22" spans="2:8" ht="15" customHeight="1" x14ac:dyDescent="0.3">
      <c r="B22" t="s">
        <v>1262</v>
      </c>
      <c r="D22" s="61"/>
      <c r="E22" s="10" t="s">
        <v>379</v>
      </c>
      <c r="G22" s="340"/>
      <c r="H22" s="1"/>
    </row>
    <row r="23" spans="2:8" ht="15.75" customHeight="1" x14ac:dyDescent="0.25">
      <c r="B23" s="9" t="s">
        <v>1249</v>
      </c>
      <c r="G23" s="155"/>
    </row>
    <row r="24" spans="2:8" ht="16.5" customHeight="1" x14ac:dyDescent="0.25">
      <c r="B24" s="32" t="s">
        <v>1250</v>
      </c>
      <c r="G24" s="155"/>
    </row>
    <row r="25" spans="2:8" ht="12" customHeight="1" x14ac:dyDescent="0.3">
      <c r="B25" s="32"/>
      <c r="D25" s="138" t="str">
        <f>IF(_WAEH=2,"volle DM","volle EURO")</f>
        <v>volle EURO</v>
      </c>
      <c r="E25" s="28" t="str">
        <f>IF((_AV15+_AV16)&gt;_AV08,"ACHTUNG - die einzelnen Buchwerte AV15 und AV 16 können nicht größer sein als der Buchwert gesamt - AV08","")</f>
        <v/>
      </c>
      <c r="G25" s="155"/>
    </row>
    <row r="26" spans="2:8" ht="15" customHeight="1" x14ac:dyDescent="0.3">
      <c r="B26" s="152" t="s">
        <v>841</v>
      </c>
      <c r="C26" s="1"/>
      <c r="D26" s="62"/>
      <c r="E26" s="52" t="s">
        <v>341</v>
      </c>
      <c r="G26" s="340"/>
    </row>
    <row r="27" spans="2:8" ht="15" customHeight="1" x14ac:dyDescent="0.25">
      <c r="B27" s="135" t="s">
        <v>842</v>
      </c>
      <c r="D27" s="62"/>
      <c r="E27" s="52" t="s">
        <v>1202</v>
      </c>
      <c r="G27" s="340"/>
    </row>
    <row r="28" spans="2:8" ht="15" hidden="1" customHeight="1" x14ac:dyDescent="0.3">
      <c r="B28" s="152" t="s">
        <v>1134</v>
      </c>
      <c r="D28" s="62"/>
      <c r="E28" s="52" t="s">
        <v>1133</v>
      </c>
      <c r="F28" s="28" t="str">
        <f>IF(AND(_AV17&lt;&gt;"",_AV17&gt;_AV15),"AV17 kann nicht größer sein als AV15","")</f>
        <v/>
      </c>
      <c r="G28" s="340"/>
    </row>
    <row r="29" spans="2:8" ht="12.75" hidden="1" customHeight="1" x14ac:dyDescent="0.3">
      <c r="B29" s="38" t="s">
        <v>1284</v>
      </c>
      <c r="C29" s="1"/>
      <c r="D29" s="19"/>
      <c r="E29" s="52" t="s">
        <v>339</v>
      </c>
      <c r="G29" s="155"/>
    </row>
    <row r="30" spans="2:8" ht="12.75" hidden="1" customHeight="1" x14ac:dyDescent="0.3">
      <c r="B30" s="38" t="s">
        <v>1285</v>
      </c>
      <c r="C30" s="1"/>
      <c r="D30" s="19"/>
      <c r="E30" s="52" t="s">
        <v>340</v>
      </c>
      <c r="G30" s="155"/>
    </row>
    <row r="31" spans="2:8" ht="7.5" customHeight="1" x14ac:dyDescent="0.25">
      <c r="G31" s="155"/>
    </row>
    <row r="32" spans="2:8" ht="12.75" customHeight="1" x14ac:dyDescent="0.25">
      <c r="B32" t="s">
        <v>90</v>
      </c>
      <c r="D32" s="138" t="str">
        <f>IF(_WAEH=2,"volle DM","volle EURO")</f>
        <v>volle EURO</v>
      </c>
      <c r="G32" s="155"/>
    </row>
    <row r="33" spans="2:8" ht="15" customHeight="1" x14ac:dyDescent="0.25">
      <c r="B33" s="32" t="s">
        <v>91</v>
      </c>
      <c r="D33" s="61"/>
      <c r="E33" s="10" t="s">
        <v>380</v>
      </c>
      <c r="G33" s="340"/>
    </row>
    <row r="34" spans="2:8" x14ac:dyDescent="0.25">
      <c r="B34" s="32" t="s">
        <v>92</v>
      </c>
      <c r="D34" s="63"/>
      <c r="E34" s="63"/>
      <c r="G34" s="155"/>
    </row>
    <row r="35" spans="2:8" ht="16.5" customHeight="1" x14ac:dyDescent="0.25">
      <c r="B35" s="9" t="s">
        <v>85</v>
      </c>
      <c r="D35" s="138" t="str">
        <f>IF(_WAEH=2,"volle DM","volle EURO")</f>
        <v>volle EURO</v>
      </c>
      <c r="E35" s="124"/>
      <c r="G35" s="155"/>
    </row>
    <row r="36" spans="2:8" ht="15" customHeight="1" x14ac:dyDescent="0.3">
      <c r="B36" s="137" t="s">
        <v>357</v>
      </c>
      <c r="C36" s="1"/>
      <c r="D36" s="62"/>
      <c r="E36" s="52" t="s">
        <v>338</v>
      </c>
      <c r="G36" s="340"/>
    </row>
    <row r="37" spans="2:8" ht="12.75" customHeight="1" x14ac:dyDescent="0.25">
      <c r="G37" s="155"/>
    </row>
    <row r="38" spans="2:8" ht="12.75" customHeight="1" x14ac:dyDescent="0.25">
      <c r="B38" s="9" t="s">
        <v>1207</v>
      </c>
      <c r="D38" s="138" t="str">
        <f>IF(_WAEH=2,"volle DM","volle EURO")</f>
        <v>volle EURO</v>
      </c>
      <c r="G38" s="155"/>
    </row>
    <row r="39" spans="2:8" ht="15" customHeight="1" x14ac:dyDescent="0.25">
      <c r="B39" t="s">
        <v>569</v>
      </c>
      <c r="D39" s="61"/>
      <c r="E39" s="10" t="s">
        <v>384</v>
      </c>
      <c r="G39" s="340"/>
    </row>
    <row r="40" spans="2:8" ht="13" x14ac:dyDescent="0.3">
      <c r="G40" s="155"/>
      <c r="H40" s="1"/>
    </row>
    <row r="41" spans="2:8" ht="13" x14ac:dyDescent="0.3">
      <c r="B41" s="9" t="s">
        <v>1208</v>
      </c>
      <c r="D41" s="138" t="str">
        <f>IF(_WAEH=2,"volle DM","volle EURO")</f>
        <v>volle EURO</v>
      </c>
      <c r="G41" s="155"/>
      <c r="H41" s="1"/>
    </row>
    <row r="42" spans="2:8" ht="15" customHeight="1" x14ac:dyDescent="0.3">
      <c r="B42" t="s">
        <v>570</v>
      </c>
      <c r="D42" s="61"/>
      <c r="E42" s="10" t="s">
        <v>385</v>
      </c>
      <c r="G42" s="340"/>
      <c r="H42" s="1"/>
    </row>
    <row r="43" spans="2:8" ht="13" x14ac:dyDescent="0.3">
      <c r="G43" s="155"/>
      <c r="H43" s="1"/>
    </row>
    <row r="44" spans="2:8" ht="13" x14ac:dyDescent="0.3">
      <c r="B44" s="12" t="s">
        <v>1209</v>
      </c>
      <c r="G44" s="155"/>
      <c r="H44" s="1"/>
    </row>
    <row r="45" spans="2:8" ht="13" x14ac:dyDescent="0.3">
      <c r="G45" s="155"/>
      <c r="H45" s="1"/>
    </row>
    <row r="46" spans="2:8" ht="13" x14ac:dyDescent="0.3">
      <c r="B46" t="s">
        <v>96</v>
      </c>
      <c r="D46" s="138" t="str">
        <f>IF(_WAEH=2,"volle DM","volle EURO")</f>
        <v>volle EURO</v>
      </c>
      <c r="G46" s="155"/>
      <c r="H46" s="1"/>
    </row>
    <row r="47" spans="2:8" ht="15" customHeight="1" x14ac:dyDescent="0.3">
      <c r="B47" s="32" t="s">
        <v>98</v>
      </c>
      <c r="D47" s="61"/>
      <c r="E47" s="10" t="s">
        <v>386</v>
      </c>
      <c r="G47" s="340"/>
      <c r="H47" s="1"/>
    </row>
    <row r="48" spans="2:8" ht="13" x14ac:dyDescent="0.3">
      <c r="G48" s="155"/>
      <c r="H48" s="1"/>
    </row>
    <row r="49" spans="2:8" ht="13" x14ac:dyDescent="0.3">
      <c r="B49" t="s">
        <v>97</v>
      </c>
      <c r="D49" s="138" t="str">
        <f>IF(_WAEH=2,"volle DM","volle EURO")</f>
        <v>volle EURO</v>
      </c>
      <c r="G49" s="155"/>
      <c r="H49" s="1"/>
    </row>
    <row r="50" spans="2:8" ht="15" customHeight="1" x14ac:dyDescent="0.25">
      <c r="B50" s="138" t="s">
        <v>95</v>
      </c>
      <c r="D50" s="61"/>
      <c r="E50" s="10" t="s">
        <v>387</v>
      </c>
      <c r="G50" s="340"/>
    </row>
    <row r="51" spans="2:8" ht="14.25" customHeight="1" x14ac:dyDescent="0.25">
      <c r="D51" s="26"/>
      <c r="G51" s="155"/>
    </row>
    <row r="52" spans="2:8" ht="15" customHeight="1" x14ac:dyDescent="0.3">
      <c r="B52" t="s">
        <v>863</v>
      </c>
      <c r="G52" s="155"/>
      <c r="H52" s="1"/>
    </row>
    <row r="53" spans="2:8" ht="13" x14ac:dyDescent="0.3">
      <c r="B53" s="138" t="s">
        <v>625</v>
      </c>
      <c r="D53" s="138" t="str">
        <f>IF(_WAEH=2,"volle DM","volle EURO")</f>
        <v>volle EURO</v>
      </c>
      <c r="G53" s="155"/>
      <c r="H53" s="1"/>
    </row>
    <row r="54" spans="2:8" ht="15" customHeight="1" x14ac:dyDescent="0.3">
      <c r="B54" s="137" t="s">
        <v>1296</v>
      </c>
      <c r="C54" s="1"/>
      <c r="D54" s="62"/>
      <c r="E54" s="52" t="s">
        <v>342</v>
      </c>
      <c r="G54" s="340"/>
      <c r="H54" s="1"/>
    </row>
    <row r="55" spans="2:8" ht="13" hidden="1" x14ac:dyDescent="0.3">
      <c r="B55" s="137" t="s">
        <v>345</v>
      </c>
      <c r="C55" s="1"/>
      <c r="D55" s="62"/>
      <c r="E55" s="52" t="s">
        <v>344</v>
      </c>
      <c r="G55" s="155"/>
      <c r="H55" s="1"/>
    </row>
    <row r="56" spans="2:8" ht="15" hidden="1" customHeight="1" x14ac:dyDescent="0.3">
      <c r="B56" s="137" t="s">
        <v>347</v>
      </c>
      <c r="C56" s="1"/>
      <c r="D56" s="62"/>
      <c r="E56" s="52" t="s">
        <v>346</v>
      </c>
      <c r="G56" s="340"/>
      <c r="H56" s="1"/>
    </row>
    <row r="57" spans="2:8" ht="13" x14ac:dyDescent="0.3">
      <c r="G57" s="7"/>
      <c r="H57" s="1"/>
    </row>
    <row r="58" spans="2:8" ht="13.5" thickBot="1" x14ac:dyDescent="0.35">
      <c r="B58" s="12" t="s">
        <v>1210</v>
      </c>
      <c r="D58" s="138" t="str">
        <f>IF(_WAEH=2,"volle DM","volle EURO")</f>
        <v>volle EURO</v>
      </c>
      <c r="G58" s="7"/>
      <c r="H58" s="1"/>
    </row>
    <row r="59" spans="2:8" ht="15" customHeight="1" thickBot="1" x14ac:dyDescent="0.35">
      <c r="B59" t="s">
        <v>571</v>
      </c>
      <c r="D59" s="27" t="str">
        <f>IF(AND(ISBLANK(_AV10),ISBLANK(_UV10),ISBLANK(_UV20)),"",_AV10+_UV10+_UV20)</f>
        <v/>
      </c>
      <c r="E59" s="10" t="s">
        <v>388</v>
      </c>
      <c r="H59" s="1"/>
    </row>
    <row r="60" spans="2:8" ht="13" x14ac:dyDescent="0.3">
      <c r="H60" s="1"/>
    </row>
    <row r="61" spans="2:8" ht="13" x14ac:dyDescent="0.3">
      <c r="H61" s="1"/>
    </row>
    <row r="62" spans="2:8" ht="13" x14ac:dyDescent="0.3">
      <c r="C62" s="1"/>
      <c r="H62" s="1"/>
    </row>
    <row r="63" spans="2:8" ht="13" x14ac:dyDescent="0.3">
      <c r="C63" s="1"/>
      <c r="H63" s="1"/>
    </row>
    <row r="64" spans="2:8" ht="13" x14ac:dyDescent="0.3">
      <c r="C64" s="1"/>
      <c r="H64" s="1"/>
    </row>
    <row r="65" spans="2:8" ht="13" x14ac:dyDescent="0.3">
      <c r="C65" s="1"/>
      <c r="H65" s="1"/>
    </row>
    <row r="66" spans="2:8" ht="13" x14ac:dyDescent="0.3">
      <c r="C66" s="1"/>
      <c r="H66" s="1"/>
    </row>
    <row r="67" spans="2:8" ht="13" x14ac:dyDescent="0.3">
      <c r="C67" s="1"/>
      <c r="H67" s="1"/>
    </row>
    <row r="68" spans="2:8" ht="13" x14ac:dyDescent="0.3">
      <c r="C68" s="1"/>
      <c r="H68" s="1"/>
    </row>
    <row r="69" spans="2:8" ht="13" x14ac:dyDescent="0.3">
      <c r="C69" s="1"/>
      <c r="H69" s="1"/>
    </row>
    <row r="70" spans="2:8" ht="13" x14ac:dyDescent="0.3">
      <c r="C70" s="1"/>
      <c r="H70" s="1"/>
    </row>
    <row r="71" spans="2:8" ht="13" x14ac:dyDescent="0.3">
      <c r="C71" s="1"/>
      <c r="H71" s="1"/>
    </row>
    <row r="72" spans="2:8" ht="13" x14ac:dyDescent="0.3">
      <c r="C72" s="1"/>
      <c r="H72" s="1"/>
    </row>
    <row r="73" spans="2:8" ht="13" x14ac:dyDescent="0.3">
      <c r="C73" s="1"/>
      <c r="H73" s="1"/>
    </row>
    <row r="74" spans="2:8" ht="13" x14ac:dyDescent="0.3">
      <c r="C74" s="1"/>
      <c r="H74" s="1"/>
    </row>
    <row r="75" spans="2:8" ht="13" x14ac:dyDescent="0.3">
      <c r="C75" s="1"/>
      <c r="H75" s="1"/>
    </row>
    <row r="76" spans="2:8" ht="13" x14ac:dyDescent="0.3">
      <c r="C76" s="1"/>
      <c r="D76" s="1"/>
      <c r="E76" s="1"/>
      <c r="H76" s="1"/>
    </row>
    <row r="77" spans="2:8" ht="13" x14ac:dyDescent="0.3">
      <c r="C77" s="1"/>
      <c r="D77" s="1"/>
      <c r="E77" s="1"/>
      <c r="F77" s="1"/>
      <c r="H77" s="1"/>
    </row>
    <row r="78" spans="2:8" ht="13" x14ac:dyDescent="0.3">
      <c r="B78" s="7"/>
      <c r="C78" s="1"/>
      <c r="D78" s="1"/>
      <c r="E78" s="1"/>
      <c r="F78" s="1"/>
      <c r="G78" s="7"/>
      <c r="H78" s="1"/>
    </row>
    <row r="79" spans="2:8" ht="13" x14ac:dyDescent="0.3">
      <c r="C79" s="1"/>
      <c r="D79" s="1"/>
      <c r="E79" s="1"/>
      <c r="F79" s="1"/>
      <c r="H79" s="1"/>
    </row>
    <row r="80" spans="2:8" ht="13" x14ac:dyDescent="0.3">
      <c r="C80" s="1"/>
      <c r="D80" s="1"/>
      <c r="E80" s="1"/>
      <c r="F80" s="1"/>
      <c r="H80" s="1"/>
    </row>
    <row r="81" spans="2:8" ht="13" x14ac:dyDescent="0.3">
      <c r="C81" s="1"/>
      <c r="D81" s="1"/>
      <c r="E81" s="1"/>
      <c r="F81" s="1"/>
      <c r="H81" s="1"/>
    </row>
    <row r="82" spans="2:8" ht="13" x14ac:dyDescent="0.3">
      <c r="D82" s="1"/>
      <c r="E82" s="1"/>
      <c r="F82" s="1"/>
    </row>
    <row r="83" spans="2:8" ht="13" x14ac:dyDescent="0.3">
      <c r="B83" s="8"/>
      <c r="C83" s="1"/>
      <c r="D83" s="1"/>
      <c r="E83" s="1"/>
      <c r="F83" s="1"/>
      <c r="G83" s="8"/>
      <c r="H83" s="1"/>
    </row>
    <row r="84" spans="2:8" ht="13" x14ac:dyDescent="0.3">
      <c r="D84" s="1"/>
      <c r="E84" s="1"/>
      <c r="F84" s="1"/>
    </row>
    <row r="85" spans="2:8" ht="13" x14ac:dyDescent="0.3">
      <c r="D85" s="1"/>
      <c r="E85" s="1"/>
      <c r="F85" s="1"/>
    </row>
    <row r="86" spans="2:8" ht="13" x14ac:dyDescent="0.3">
      <c r="D86" s="1"/>
      <c r="E86" s="1"/>
      <c r="F86" s="1"/>
    </row>
    <row r="87" spans="2:8" ht="13" x14ac:dyDescent="0.3">
      <c r="D87" s="1"/>
      <c r="E87" s="1"/>
      <c r="F87" s="1"/>
    </row>
    <row r="88" spans="2:8" ht="13" x14ac:dyDescent="0.3">
      <c r="F88" s="1"/>
    </row>
    <row r="89" spans="2:8" ht="13" x14ac:dyDescent="0.3">
      <c r="F89" s="1"/>
    </row>
  </sheetData>
  <sheetProtection password="92CE" sheet="1"/>
  <phoneticPr fontId="0" type="noConversion"/>
  <dataValidations count="5">
    <dataValidation type="decimal" operator="greaterThan" allowBlank="1" showInputMessage="1" showErrorMessage="1" errorTitle="Fehler" error="Die Eingabe muss numerisch sein und darf nicht &quot;0&quot; sein" sqref="D10 D42 D16:D17 D54 D29:D30 D19:D22 D26 D51" xr:uid="{00000000-0002-0000-0200-000000000000}">
      <formula1>0</formula1>
    </dataValidation>
    <dataValidation operator="greaterThan" allowBlank="1" showInputMessage="1" showErrorMessage="1" sqref="D47" xr:uid="{00000000-0002-0000-0200-000001000000}"/>
    <dataValidation operator="greaterThan" allowBlank="1" showInputMessage="1" showErrorMessage="1" errorTitle="Fehler" error="Die Eingabe muss numerisch sein und darf nicht &quot;0&quot; sein" sqref="D55:D56 D33 D7 D11 D39" xr:uid="{00000000-0002-0000-0200-000002000000}"/>
    <dataValidation type="decimal" operator="greaterThanOrEqual" allowBlank="1" showInputMessage="1" showErrorMessage="1" errorTitle="Fehler" error="Die Eingabe muss numerisch sein und darf nicht &quot;0&quot; sein" sqref="D36" xr:uid="{00000000-0002-0000-0200-000003000000}">
      <formula1>0</formula1>
    </dataValidation>
    <dataValidation errorStyle="information" operator="greaterThan" allowBlank="1" showInputMessage="1" showErrorMessage="1" sqref="D50" xr:uid="{00000000-0002-0000-0200-000004000000}"/>
  </dataValidations>
  <pageMargins left="0.78740157499999996" right="0.34" top="0.69" bottom="0.984251969" header="0.4921259845" footer="0.4921259845"/>
  <pageSetup paperSize="9" scale="97" orientation="portrait" horizontalDpi="4294967292" r:id="rId1"/>
  <headerFooter alignWithMargins="0">
    <oddFooter>&amp;C&amp;"Arial,Fett"Teil I - Seite 3</oddFooter>
  </headerFooter>
  <drawing r:id="rId2"/>
  <legacyDrawing r:id="rId3"/>
  <controls>
    <mc:AlternateContent xmlns:mc="http://schemas.openxmlformats.org/markup-compatibility/2006">
      <mc:Choice Requires="x14">
        <control shapeId="7169" r:id="rId4" name="CommandButton1">
          <controlPr defaultSize="0" autoLine="0" r:id="rId5">
            <anchor moveWithCells="1">
              <from>
                <xdr:col>0</xdr:col>
                <xdr:colOff>31750</xdr:colOff>
                <xdr:row>59</xdr:row>
                <xdr:rowOff>101600</xdr:rowOff>
              </from>
              <to>
                <xdr:col>1</xdr:col>
                <xdr:colOff>876300</xdr:colOff>
                <xdr:row>61</xdr:row>
                <xdr:rowOff>114300</xdr:rowOff>
              </to>
            </anchor>
          </controlPr>
        </control>
      </mc:Choice>
      <mc:Fallback>
        <control shapeId="7169" r:id="rId4" name="Command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pageSetUpPr fitToPage="1"/>
  </sheetPr>
  <dimension ref="B2:N90"/>
  <sheetViews>
    <sheetView showGridLines="0" zoomScaleNormal="100" workbookViewId="0">
      <selection activeCell="H21" sqref="H21"/>
    </sheetView>
  </sheetViews>
  <sheetFormatPr baseColWidth="10" defaultRowHeight="12.5" x14ac:dyDescent="0.25"/>
  <cols>
    <col min="1" max="1" width="3.7265625" customWidth="1"/>
    <col min="2" max="2" width="1.54296875" bestFit="1" customWidth="1"/>
    <col min="3" max="3" width="50.7265625" customWidth="1"/>
    <col min="4" max="4" width="4.26953125" customWidth="1"/>
    <col min="5" max="5" width="16.7265625" customWidth="1"/>
    <col min="6" max="6" width="6.7265625" customWidth="1"/>
    <col min="7" max="7" width="1.81640625" customWidth="1"/>
    <col min="8" max="8" width="20.26953125" customWidth="1"/>
    <col min="9" max="9" width="5.81640625" customWidth="1"/>
    <col min="10" max="10" width="1.453125" customWidth="1"/>
    <col min="11" max="11" width="21.1796875" customWidth="1"/>
    <col min="12" max="12" width="6.54296875" customWidth="1"/>
    <col min="13" max="13" width="3.453125" customWidth="1"/>
    <col min="14" max="14" width="19.7265625" customWidth="1"/>
  </cols>
  <sheetData>
    <row r="2" spans="2:8" ht="14" x14ac:dyDescent="0.3">
      <c r="B2" s="139" t="s">
        <v>1211</v>
      </c>
    </row>
    <row r="3" spans="2:8" ht="10" customHeight="1" x14ac:dyDescent="0.25"/>
    <row r="4" spans="2:8" ht="15" x14ac:dyDescent="0.3">
      <c r="B4" s="12" t="s">
        <v>99</v>
      </c>
    </row>
    <row r="5" spans="2:8" hidden="1" x14ac:dyDescent="0.25">
      <c r="C5" s="7" t="s">
        <v>358</v>
      </c>
      <c r="E5" t="str">
        <f>IF(_WAEH=2,"volle DM","volle EURO")</f>
        <v>volle EURO</v>
      </c>
    </row>
    <row r="6" spans="2:8" hidden="1" x14ac:dyDescent="0.25">
      <c r="C6" t="s">
        <v>770</v>
      </c>
      <c r="E6" s="19"/>
      <c r="F6" s="10" t="s">
        <v>389</v>
      </c>
    </row>
    <row r="7" spans="2:8" ht="13" x14ac:dyDescent="0.3">
      <c r="E7" s="138" t="str">
        <f>IF(_WAEH=2,"volle DM","volle EURO")</f>
        <v>volle EURO</v>
      </c>
      <c r="F7" s="1"/>
    </row>
    <row r="8" spans="2:8" ht="15" customHeight="1" x14ac:dyDescent="0.25">
      <c r="C8" t="s">
        <v>771</v>
      </c>
      <c r="E8" s="62"/>
      <c r="F8" s="10" t="s">
        <v>390</v>
      </c>
      <c r="H8" s="340"/>
    </row>
    <row r="9" spans="2:8" ht="15" customHeight="1" x14ac:dyDescent="0.25">
      <c r="C9" t="s">
        <v>784</v>
      </c>
      <c r="E9" s="62"/>
      <c r="F9" s="10" t="s">
        <v>391</v>
      </c>
      <c r="H9" s="340"/>
    </row>
    <row r="10" spans="2:8" ht="6" customHeight="1" x14ac:dyDescent="0.25">
      <c r="E10" s="26"/>
    </row>
    <row r="11" spans="2:8" ht="13.5" x14ac:dyDescent="0.25">
      <c r="B11" s="142" t="s">
        <v>100</v>
      </c>
      <c r="C11" s="32" t="s">
        <v>103</v>
      </c>
    </row>
    <row r="12" spans="2:8" x14ac:dyDescent="0.25">
      <c r="B12" s="140"/>
      <c r="C12" s="141" t="s">
        <v>102</v>
      </c>
    </row>
    <row r="13" spans="2:8" x14ac:dyDescent="0.25">
      <c r="B13" s="140"/>
      <c r="C13" s="141" t="s">
        <v>101</v>
      </c>
    </row>
    <row r="14" spans="2:8" x14ac:dyDescent="0.25">
      <c r="B14" s="140"/>
      <c r="C14" s="141" t="s">
        <v>104</v>
      </c>
    </row>
    <row r="15" spans="2:8" x14ac:dyDescent="0.25">
      <c r="C15" s="165" t="s">
        <v>1247</v>
      </c>
    </row>
    <row r="17" spans="2:11" ht="13" x14ac:dyDescent="0.3">
      <c r="B17" s="12" t="s">
        <v>1215</v>
      </c>
    </row>
    <row r="18" spans="2:11" ht="13" x14ac:dyDescent="0.3">
      <c r="B18" s="28" t="s">
        <v>1248</v>
      </c>
    </row>
    <row r="19" spans="2:11" ht="23.25" customHeight="1" x14ac:dyDescent="0.25">
      <c r="C19" s="7"/>
      <c r="E19" s="138" t="str">
        <f>IF(_WAEH=2,"volle DM","volle EURO")</f>
        <v>volle EURO</v>
      </c>
      <c r="H19" s="143" t="s">
        <v>105</v>
      </c>
      <c r="I19" s="168"/>
    </row>
    <row r="20" spans="2:11" ht="15" customHeight="1" x14ac:dyDescent="0.25">
      <c r="C20" t="s">
        <v>771</v>
      </c>
      <c r="E20" s="62">
        <v>0</v>
      </c>
      <c r="F20" s="10" t="s">
        <v>392</v>
      </c>
      <c r="G20" s="202"/>
      <c r="H20" s="62"/>
      <c r="I20" s="26"/>
      <c r="K20" s="340"/>
    </row>
    <row r="21" spans="2:11" ht="15" customHeight="1" x14ac:dyDescent="0.25">
      <c r="C21" t="s">
        <v>784</v>
      </c>
      <c r="E21" s="62">
        <v>0</v>
      </c>
      <c r="F21" s="10" t="s">
        <v>393</v>
      </c>
      <c r="G21" s="202"/>
      <c r="H21" s="62"/>
      <c r="I21" s="26"/>
      <c r="K21" s="340"/>
    </row>
    <row r="22" spans="2:11" x14ac:dyDescent="0.25">
      <c r="D22" s="7"/>
      <c r="E22" s="26"/>
      <c r="F22" s="7"/>
      <c r="J22" s="9"/>
      <c r="K22" s="7"/>
    </row>
    <row r="23" spans="2:11" hidden="1" x14ac:dyDescent="0.25">
      <c r="C23" s="7"/>
      <c r="D23" s="7"/>
      <c r="E23" s="7" t="str">
        <f>IF(_WAEH=2,"volle DM","volle EURO")</f>
        <v>volle EURO</v>
      </c>
      <c r="F23" s="7"/>
      <c r="J23" s="9"/>
    </row>
    <row r="24" spans="2:11" hidden="1" x14ac:dyDescent="0.25">
      <c r="C24" s="7" t="s">
        <v>550</v>
      </c>
      <c r="D24" s="7"/>
      <c r="E24" s="79">
        <f>G21-G20</f>
        <v>0</v>
      </c>
      <c r="F24" s="52" t="s">
        <v>350</v>
      </c>
      <c r="J24" s="9"/>
    </row>
    <row r="25" spans="2:11" ht="10" hidden="1" customHeight="1" x14ac:dyDescent="0.25"/>
    <row r="26" spans="2:11" ht="13" hidden="1" x14ac:dyDescent="0.3">
      <c r="C26" t="s">
        <v>787</v>
      </c>
      <c r="E26" t="str">
        <f>IF(_WAEH=2,"volle DM","volle EURO")</f>
        <v>volle EURO</v>
      </c>
      <c r="G26" s="28"/>
    </row>
    <row r="27" spans="2:11" ht="13" hidden="1" x14ac:dyDescent="0.3">
      <c r="C27" t="s">
        <v>788</v>
      </c>
      <c r="E27" s="62"/>
      <c r="F27" s="10" t="s">
        <v>394</v>
      </c>
      <c r="G27" s="28"/>
    </row>
    <row r="28" spans="2:11" ht="14.25" hidden="1" customHeight="1" x14ac:dyDescent="0.25"/>
    <row r="29" spans="2:11" hidden="1" x14ac:dyDescent="0.25">
      <c r="C29" t="s">
        <v>1288</v>
      </c>
      <c r="E29" t="str">
        <f>IF(_WAEH=2,"volle DM","volle EURO")</f>
        <v>volle EURO</v>
      </c>
    </row>
    <row r="30" spans="2:11" hidden="1" x14ac:dyDescent="0.25">
      <c r="C30" t="s">
        <v>789</v>
      </c>
      <c r="E30" s="62"/>
      <c r="F30" s="10" t="s">
        <v>395</v>
      </c>
    </row>
    <row r="31" spans="2:11" hidden="1" x14ac:dyDescent="0.25">
      <c r="E31" s="7"/>
    </row>
    <row r="32" spans="2:11" ht="13" x14ac:dyDescent="0.3">
      <c r="B32" s="12" t="s">
        <v>1216</v>
      </c>
    </row>
    <row r="33" spans="3:14" ht="26" x14ac:dyDescent="0.3">
      <c r="H33" s="67" t="s">
        <v>1212</v>
      </c>
      <c r="I33" s="67"/>
      <c r="J33" s="67"/>
      <c r="K33" s="67" t="s">
        <v>915</v>
      </c>
    </row>
    <row r="34" spans="3:14" ht="13" x14ac:dyDescent="0.3">
      <c r="C34" s="144" t="s">
        <v>107</v>
      </c>
      <c r="E34" s="138" t="str">
        <f>IF(_WAEH=2,"volle DM","volle EURO")</f>
        <v>volle EURO</v>
      </c>
      <c r="H34" s="138" t="str">
        <f>IF(_WAEH=2,"volle DM","volle EURO")</f>
        <v>volle EURO</v>
      </c>
      <c r="I34" s="138"/>
      <c r="J34" s="67"/>
      <c r="K34" s="138" t="str">
        <f>IF(_WAEH=2,"volle DM","volle EURO")</f>
        <v>volle EURO</v>
      </c>
    </row>
    <row r="35" spans="3:14" ht="15" customHeight="1" x14ac:dyDescent="0.3">
      <c r="C35" s="131" t="s">
        <v>575</v>
      </c>
      <c r="E35" s="65">
        <f>IF(AND(ISBLANK(H35),ISBLANK(_XX05)),0,H35+_XX05)</f>
        <v>0</v>
      </c>
      <c r="F35" s="66"/>
      <c r="G35" s="66"/>
      <c r="H35" s="66"/>
      <c r="I35" s="66"/>
      <c r="J35" s="64"/>
      <c r="K35" s="62"/>
      <c r="L35" s="10" t="s">
        <v>572</v>
      </c>
      <c r="N35" s="340"/>
    </row>
    <row r="36" spans="3:14" ht="15" customHeight="1" x14ac:dyDescent="0.3">
      <c r="C36" s="131" t="s">
        <v>576</v>
      </c>
      <c r="E36" s="65">
        <f>IF(AND(ISBLANK(H36),ISBLANK(_XX06)),0,H36+_XX06)</f>
        <v>0</v>
      </c>
      <c r="F36" s="65" t="s">
        <v>1106</v>
      </c>
      <c r="G36" s="66"/>
      <c r="H36" s="66"/>
      <c r="I36" s="66"/>
      <c r="J36" s="64"/>
      <c r="K36" s="62"/>
      <c r="L36" s="10" t="s">
        <v>573</v>
      </c>
      <c r="N36" s="340"/>
    </row>
    <row r="37" spans="3:14" ht="15" customHeight="1" x14ac:dyDescent="0.3">
      <c r="C37" s="131" t="s">
        <v>610</v>
      </c>
      <c r="E37" s="65">
        <f>IF(AND(ISBLANK(_KV08),ISBLANK(_XX07)),0,_KV08+_XX07)</f>
        <v>0</v>
      </c>
      <c r="F37" s="66"/>
      <c r="G37" s="66"/>
      <c r="H37" s="62"/>
      <c r="I37" s="218" t="s">
        <v>17</v>
      </c>
      <c r="J37" s="64" t="s">
        <v>1213</v>
      </c>
      <c r="K37" s="62"/>
      <c r="L37" s="10" t="s">
        <v>574</v>
      </c>
      <c r="N37" s="340"/>
    </row>
    <row r="38" spans="3:14" ht="3" customHeight="1" thickBot="1" x14ac:dyDescent="0.3"/>
    <row r="39" spans="3:14" ht="15" customHeight="1" thickBot="1" x14ac:dyDescent="0.35">
      <c r="C39" s="1" t="s">
        <v>567</v>
      </c>
      <c r="E39" s="66"/>
      <c r="F39" s="66"/>
      <c r="G39" s="25"/>
      <c r="H39" s="25"/>
      <c r="I39" s="25"/>
      <c r="K39" s="27">
        <f>IF(AND(ISBLANK(_XX05),ISBLANK(_XX06),ISBLANK(_XX07)),0,_XX05+_XX06+_XX07)</f>
        <v>0</v>
      </c>
      <c r="L39" s="11" t="s">
        <v>396</v>
      </c>
    </row>
    <row r="40" spans="3:14" ht="13" x14ac:dyDescent="0.3">
      <c r="C40" s="1"/>
    </row>
    <row r="41" spans="3:14" x14ac:dyDescent="0.25">
      <c r="E41" s="138" t="str">
        <f>IF(_WAEH=2,"volle DM","volle EURO")</f>
        <v>volle EURO</v>
      </c>
      <c r="H41" s="138" t="str">
        <f>IF(_WAEH=2,"volle DM","volle EURO")</f>
        <v>volle EURO</v>
      </c>
      <c r="I41" s="138"/>
      <c r="K41" s="138" t="str">
        <f>IF(_WAEH=2,"volle DM","volle EURO")</f>
        <v>volle EURO</v>
      </c>
    </row>
    <row r="42" spans="3:14" ht="15" customHeight="1" x14ac:dyDescent="0.3">
      <c r="C42" s="144" t="s">
        <v>1214</v>
      </c>
      <c r="E42" s="65">
        <f>IF(AND(ISBLANK(H42),ISBLANK(_LR09)),0,H42+_LR09)</f>
        <v>0</v>
      </c>
      <c r="H42" s="68"/>
      <c r="I42" s="66"/>
      <c r="J42" s="64" t="s">
        <v>1213</v>
      </c>
      <c r="K42" s="62"/>
      <c r="L42" s="10" t="s">
        <v>855</v>
      </c>
      <c r="N42" s="340"/>
    </row>
    <row r="43" spans="3:14" ht="10.5" customHeight="1" x14ac:dyDescent="0.3">
      <c r="E43" s="66"/>
      <c r="H43" s="66"/>
      <c r="I43" s="66"/>
      <c r="J43" s="64"/>
      <c r="K43" s="26"/>
    </row>
    <row r="44" spans="3:14" ht="13" x14ac:dyDescent="0.3">
      <c r="C44" s="28" t="str">
        <f>CONCATENATE(IF(ISBLANK(_LR09),"Bitte langfristige Rückstellungen des Vorjahres",""),IF(ISBLANK(_LR09)," unbedingt mit angeben!",""))</f>
        <v>Bitte langfristige Rückstellungen des Vorjahres unbedingt mit angeben!</v>
      </c>
    </row>
    <row r="45" spans="3:14" ht="9.75" customHeight="1" x14ac:dyDescent="0.3">
      <c r="E45" s="138"/>
      <c r="H45" s="28"/>
      <c r="I45" s="28"/>
    </row>
    <row r="46" spans="3:14" ht="26.25" customHeight="1" x14ac:dyDescent="0.25">
      <c r="C46" s="478" t="s">
        <v>1253</v>
      </c>
      <c r="D46" s="478"/>
      <c r="E46" s="478"/>
      <c r="F46" s="478"/>
      <c r="G46" s="478"/>
      <c r="H46" s="478"/>
      <c r="I46" s="217"/>
      <c r="K46" s="68"/>
      <c r="L46" s="52" t="s">
        <v>609</v>
      </c>
      <c r="N46" s="340"/>
    </row>
    <row r="50" spans="3:3" x14ac:dyDescent="0.25">
      <c r="C50" s="7"/>
    </row>
    <row r="51" spans="3:3" x14ac:dyDescent="0.25">
      <c r="C51" s="7"/>
    </row>
    <row r="52" spans="3:3" x14ac:dyDescent="0.25">
      <c r="C52" s="7"/>
    </row>
    <row r="53" spans="3:3" x14ac:dyDescent="0.25">
      <c r="C53" s="9"/>
    </row>
    <row r="56" spans="3:3" x14ac:dyDescent="0.25">
      <c r="C56" s="9"/>
    </row>
    <row r="59" spans="3:3" ht="13" x14ac:dyDescent="0.3">
      <c r="C59" s="12"/>
    </row>
    <row r="66" spans="3:4" ht="13" x14ac:dyDescent="0.3">
      <c r="C66" s="12"/>
    </row>
    <row r="68" spans="3:4" ht="13" x14ac:dyDescent="0.3">
      <c r="D68" s="1"/>
    </row>
    <row r="69" spans="3:4" ht="13" x14ac:dyDescent="0.3">
      <c r="D69" s="1"/>
    </row>
    <row r="70" spans="3:4" ht="13" x14ac:dyDescent="0.3">
      <c r="D70" s="1"/>
    </row>
    <row r="71" spans="3:4" ht="13" x14ac:dyDescent="0.3">
      <c r="D71" s="1"/>
    </row>
    <row r="72" spans="3:4" ht="13" x14ac:dyDescent="0.3">
      <c r="D72" s="1"/>
    </row>
    <row r="73" spans="3:4" ht="13" x14ac:dyDescent="0.3">
      <c r="D73" s="1"/>
    </row>
    <row r="74" spans="3:4" ht="13" x14ac:dyDescent="0.3">
      <c r="D74" s="1"/>
    </row>
    <row r="75" spans="3:4" ht="13" x14ac:dyDescent="0.3">
      <c r="D75" s="1"/>
    </row>
    <row r="76" spans="3:4" ht="13" x14ac:dyDescent="0.3">
      <c r="D76" s="1"/>
    </row>
    <row r="77" spans="3:4" ht="13" x14ac:dyDescent="0.3">
      <c r="D77" s="1"/>
    </row>
    <row r="78" spans="3:4" ht="13" x14ac:dyDescent="0.3">
      <c r="D78" s="1"/>
    </row>
    <row r="79" spans="3:4" ht="13" x14ac:dyDescent="0.3">
      <c r="D79" s="1"/>
    </row>
    <row r="80" spans="3:4" ht="13" x14ac:dyDescent="0.3">
      <c r="D80" s="1"/>
    </row>
    <row r="81" spans="3:7" ht="13" x14ac:dyDescent="0.3">
      <c r="D81" s="1"/>
    </row>
    <row r="82" spans="3:7" ht="13" x14ac:dyDescent="0.3">
      <c r="D82" s="1"/>
      <c r="E82" s="1"/>
      <c r="F82" s="1"/>
      <c r="G82" s="1"/>
    </row>
    <row r="83" spans="3:7" ht="13" x14ac:dyDescent="0.3">
      <c r="E83" s="1"/>
      <c r="F83" s="1"/>
      <c r="G83" s="1"/>
    </row>
    <row r="84" spans="3:7" ht="13" x14ac:dyDescent="0.3">
      <c r="C84" s="8"/>
      <c r="D84" s="1"/>
      <c r="E84" s="1"/>
      <c r="F84" s="1"/>
      <c r="G84" s="1"/>
    </row>
    <row r="85" spans="3:7" ht="13" x14ac:dyDescent="0.3">
      <c r="E85" s="1"/>
      <c r="F85" s="1"/>
      <c r="G85" s="1"/>
    </row>
    <row r="86" spans="3:7" ht="13" x14ac:dyDescent="0.3">
      <c r="E86" s="1"/>
      <c r="F86" s="1"/>
      <c r="G86" s="1"/>
    </row>
    <row r="87" spans="3:7" ht="13" x14ac:dyDescent="0.3">
      <c r="E87" s="1"/>
      <c r="F87" s="1"/>
      <c r="G87" s="1"/>
    </row>
    <row r="88" spans="3:7" ht="13" x14ac:dyDescent="0.3">
      <c r="E88" s="1"/>
      <c r="F88" s="1"/>
      <c r="G88" s="1"/>
    </row>
    <row r="89" spans="3:7" ht="13" x14ac:dyDescent="0.3">
      <c r="E89" s="1"/>
      <c r="F89" s="1"/>
      <c r="G89" s="1"/>
    </row>
    <row r="90" spans="3:7" ht="13" x14ac:dyDescent="0.3">
      <c r="E90" s="1"/>
      <c r="F90" s="1"/>
      <c r="G90" s="1"/>
    </row>
  </sheetData>
  <sheetProtection password="92CE" sheet="1"/>
  <mergeCells count="1">
    <mergeCell ref="C46:H46"/>
  </mergeCells>
  <phoneticPr fontId="0" type="noConversion"/>
  <pageMargins left="0.78740157499999996" right="0.45" top="0.78" bottom="0.77" header="0.4921259845" footer="0.4921259845"/>
  <pageSetup paperSize="9" scale="99" orientation="landscape" horizontalDpi="4294967292" verticalDpi="300" r:id="rId1"/>
  <headerFooter alignWithMargins="0">
    <oddFooter>&amp;C&amp;"Arial,Fett"Teil I - Seite 4</oddFooter>
  </headerFooter>
  <drawing r:id="rId2"/>
  <legacyDrawing r:id="rId3"/>
  <controls>
    <mc:AlternateContent xmlns:mc="http://schemas.openxmlformats.org/markup-compatibility/2006">
      <mc:Choice Requires="x14">
        <control shapeId="8193" r:id="rId4" name="CommandButton1">
          <controlPr defaultSize="0" autoLine="0" r:id="rId5">
            <anchor moveWithCells="1">
              <from>
                <xdr:col>0</xdr:col>
                <xdr:colOff>25400</xdr:colOff>
                <xdr:row>47</xdr:row>
                <xdr:rowOff>0</xdr:rowOff>
              </from>
              <to>
                <xdr:col>2</xdr:col>
                <xdr:colOff>812800</xdr:colOff>
                <xdr:row>49</xdr:row>
                <xdr:rowOff>12700</xdr:rowOff>
              </to>
            </anchor>
          </controlPr>
        </control>
      </mc:Choice>
      <mc:Fallback>
        <control shapeId="8193" r:id="rId4"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pageSetUpPr fitToPage="1"/>
  </sheetPr>
  <dimension ref="B2:G119"/>
  <sheetViews>
    <sheetView showGridLines="0" topLeftCell="A10" workbookViewId="0">
      <selection activeCell="D9" sqref="D9"/>
    </sheetView>
  </sheetViews>
  <sheetFormatPr baseColWidth="10" defaultRowHeight="12.5" x14ac:dyDescent="0.25"/>
  <cols>
    <col min="1" max="1" width="6" customWidth="1"/>
    <col min="2" max="2" width="50.7265625" customWidth="1"/>
    <col min="3" max="3" width="4.26953125" customWidth="1"/>
    <col min="4" max="4" width="16.7265625" customWidth="1"/>
    <col min="5" max="5" width="6.7265625" customWidth="1"/>
    <col min="6" max="6" width="2.54296875" customWidth="1"/>
    <col min="7" max="7" width="26.26953125" customWidth="1"/>
  </cols>
  <sheetData>
    <row r="2" spans="2:7" ht="13" x14ac:dyDescent="0.3">
      <c r="B2" s="12" t="s">
        <v>1217</v>
      </c>
    </row>
    <row r="3" spans="2:7" ht="10" customHeight="1" x14ac:dyDescent="0.25"/>
    <row r="4" spans="2:7" ht="13" x14ac:dyDescent="0.3">
      <c r="B4" s="134" t="s">
        <v>118</v>
      </c>
    </row>
    <row r="5" spans="2:7" x14ac:dyDescent="0.25">
      <c r="B5" s="133" t="s">
        <v>116</v>
      </c>
    </row>
    <row r="6" spans="2:7" ht="13" x14ac:dyDescent="0.3">
      <c r="B6" s="1"/>
    </row>
    <row r="7" spans="2:7" x14ac:dyDescent="0.25">
      <c r="B7" s="146" t="s">
        <v>119</v>
      </c>
      <c r="D7" s="138" t="str">
        <f>IF(_WAEH=2,"volle DM","volle EURO")</f>
        <v>volle EURO</v>
      </c>
    </row>
    <row r="8" spans="2:7" ht="3" customHeight="1" x14ac:dyDescent="0.25">
      <c r="B8" s="145"/>
      <c r="D8" s="138"/>
    </row>
    <row r="9" spans="2:7" ht="15" customHeight="1" x14ac:dyDescent="0.25">
      <c r="B9" s="147" t="s">
        <v>108</v>
      </c>
      <c r="D9" s="62"/>
      <c r="E9" s="10" t="s">
        <v>577</v>
      </c>
      <c r="G9" s="340"/>
    </row>
    <row r="10" spans="2:7" ht="15" customHeight="1" x14ac:dyDescent="0.25">
      <c r="B10" s="135" t="s">
        <v>112</v>
      </c>
      <c r="D10" s="62"/>
      <c r="E10" s="10" t="s">
        <v>578</v>
      </c>
      <c r="G10" s="340"/>
    </row>
    <row r="11" spans="2:7" ht="15" customHeight="1" thickBot="1" x14ac:dyDescent="0.3">
      <c r="B11" s="135" t="s">
        <v>120</v>
      </c>
      <c r="D11" s="62"/>
      <c r="E11" s="10" t="s">
        <v>579</v>
      </c>
      <c r="G11" s="340"/>
    </row>
    <row r="12" spans="2:7" ht="15" customHeight="1" thickBot="1" x14ac:dyDescent="0.35">
      <c r="B12" s="148" t="s">
        <v>567</v>
      </c>
      <c r="D12" s="21">
        <f>IF(AND(ISBLANK(_XX08),ISBLANK(_XX09),ISBLANK(_XX10)),0,_XX08+_XX09+_XX10)</f>
        <v>0</v>
      </c>
      <c r="E12" s="11" t="s">
        <v>397</v>
      </c>
      <c r="G12" s="155"/>
    </row>
    <row r="13" spans="2:7" ht="10" customHeight="1" x14ac:dyDescent="0.25">
      <c r="G13" s="155"/>
    </row>
    <row r="14" spans="2:7" ht="3.75" customHeight="1" x14ac:dyDescent="0.3">
      <c r="B14" s="28"/>
      <c r="G14" s="155"/>
    </row>
    <row r="15" spans="2:7" ht="13" x14ac:dyDescent="0.3">
      <c r="B15" s="148" t="s">
        <v>106</v>
      </c>
      <c r="D15" s="138" t="str">
        <f>IF(_WAEH=2,"volle DM","volle EURO")</f>
        <v>volle EURO</v>
      </c>
      <c r="G15" s="155"/>
    </row>
    <row r="16" spans="2:7" ht="15" customHeight="1" x14ac:dyDescent="0.3">
      <c r="B16" s="131" t="s">
        <v>790</v>
      </c>
      <c r="D16" s="62"/>
      <c r="E16" s="10" t="s">
        <v>398</v>
      </c>
      <c r="F16" s="28"/>
      <c r="G16" s="340"/>
    </row>
    <row r="17" spans="2:7" ht="15" customHeight="1" x14ac:dyDescent="0.3">
      <c r="D17" s="350" t="str">
        <f>IF(ISBLANK(_TI10),"Wichtige Angabe!","")</f>
        <v>Wichtige Angabe!</v>
      </c>
      <c r="G17" s="155"/>
    </row>
    <row r="18" spans="2:7" ht="13" x14ac:dyDescent="0.3">
      <c r="B18" s="134" t="s">
        <v>115</v>
      </c>
      <c r="G18" s="155"/>
    </row>
    <row r="19" spans="2:7" x14ac:dyDescent="0.25">
      <c r="B19" s="149" t="s">
        <v>117</v>
      </c>
      <c r="G19" s="155"/>
    </row>
    <row r="20" spans="2:7" x14ac:dyDescent="0.25">
      <c r="B20" s="7"/>
      <c r="G20" s="155"/>
    </row>
    <row r="21" spans="2:7" x14ac:dyDescent="0.25">
      <c r="B21" s="146" t="s">
        <v>119</v>
      </c>
      <c r="D21" s="138" t="str">
        <f>IF(_WAEH=2,"volle DM","volle EURO")</f>
        <v>volle EURO</v>
      </c>
      <c r="G21" s="155"/>
    </row>
    <row r="22" spans="2:7" ht="3" customHeight="1" x14ac:dyDescent="0.25">
      <c r="B22" s="145"/>
      <c r="D22" s="138"/>
      <c r="G22" s="155"/>
    </row>
    <row r="23" spans="2:7" ht="15" customHeight="1" x14ac:dyDescent="0.25">
      <c r="B23" s="147" t="s">
        <v>108</v>
      </c>
      <c r="D23" s="62"/>
      <c r="E23" s="10" t="s">
        <v>581</v>
      </c>
      <c r="G23" s="340"/>
    </row>
    <row r="24" spans="2:7" ht="15" customHeight="1" x14ac:dyDescent="0.25">
      <c r="B24" s="147" t="s">
        <v>112</v>
      </c>
      <c r="D24" s="62"/>
      <c r="E24" s="10" t="s">
        <v>582</v>
      </c>
      <c r="G24" s="340"/>
    </row>
    <row r="25" spans="2:7" ht="15" customHeight="1" thickBot="1" x14ac:dyDescent="0.3">
      <c r="B25" s="147" t="s">
        <v>1292</v>
      </c>
      <c r="D25" s="62"/>
      <c r="E25" s="10" t="s">
        <v>583</v>
      </c>
      <c r="G25" s="340" t="s">
        <v>1788</v>
      </c>
    </row>
    <row r="26" spans="2:7" ht="15" customHeight="1" thickBot="1" x14ac:dyDescent="0.35">
      <c r="B26" s="148" t="s">
        <v>567</v>
      </c>
      <c r="D26" s="21">
        <f>IF(AND(ISBLANK(_XX11),ISBLANK(_XX12),ISBLANK(_EA10)),0,_XX11+_XX12+_EA10)</f>
        <v>0</v>
      </c>
      <c r="E26" s="11" t="s">
        <v>584</v>
      </c>
      <c r="G26" s="155"/>
    </row>
    <row r="27" spans="2:7" ht="10" customHeight="1" x14ac:dyDescent="0.25">
      <c r="G27" s="155"/>
    </row>
    <row r="28" spans="2:7" ht="13" x14ac:dyDescent="0.3">
      <c r="B28" s="134" t="s">
        <v>1218</v>
      </c>
      <c r="E28" s="1"/>
      <c r="G28" s="155"/>
    </row>
    <row r="29" spans="2:7" ht="10" customHeight="1" x14ac:dyDescent="0.3">
      <c r="B29" s="12"/>
      <c r="G29" s="155"/>
    </row>
    <row r="30" spans="2:7" ht="13.5" thickBot="1" x14ac:dyDescent="0.35">
      <c r="B30" s="135" t="s">
        <v>113</v>
      </c>
      <c r="D30" s="138" t="str">
        <f>IF(_WAEH=2,"volle DM","volle EURO")</f>
        <v>volle EURO</v>
      </c>
      <c r="E30" s="1"/>
      <c r="G30" s="155"/>
    </row>
    <row r="31" spans="2:7" ht="15" customHeight="1" thickBot="1" x14ac:dyDescent="0.35">
      <c r="B31" s="135" t="s">
        <v>114</v>
      </c>
      <c r="D31" s="216">
        <v>0</v>
      </c>
      <c r="E31" s="11" t="s">
        <v>580</v>
      </c>
      <c r="G31" s="340"/>
    </row>
    <row r="32" spans="2:7" ht="10" customHeight="1" x14ac:dyDescent="0.25">
      <c r="G32" s="155"/>
    </row>
    <row r="33" spans="2:7" ht="15" customHeight="1" thickBot="1" x14ac:dyDescent="0.3">
      <c r="D33" s="138" t="str">
        <f>IF(_WAEH=2,"volle DM","volle EURO")</f>
        <v>volle EURO</v>
      </c>
      <c r="G33" s="155"/>
    </row>
    <row r="34" spans="2:7" ht="15" customHeight="1" thickBot="1" x14ac:dyDescent="0.35">
      <c r="B34" s="134" t="s">
        <v>1219</v>
      </c>
      <c r="D34" s="216"/>
      <c r="E34" s="11" t="s">
        <v>399</v>
      </c>
      <c r="G34" s="340"/>
    </row>
    <row r="35" spans="2:7" ht="10" customHeight="1" x14ac:dyDescent="0.25">
      <c r="G35" s="155"/>
    </row>
    <row r="36" spans="2:7" ht="13" x14ac:dyDescent="0.3">
      <c r="B36" s="12" t="s">
        <v>1138</v>
      </c>
      <c r="D36" s="138" t="str">
        <f>IF(_WAEH=2,"volle DM","volle EURO")</f>
        <v>volle EURO</v>
      </c>
      <c r="G36" s="155"/>
    </row>
    <row r="37" spans="2:7" ht="15" customHeight="1" x14ac:dyDescent="0.25">
      <c r="B37" s="135" t="s">
        <v>1139</v>
      </c>
      <c r="D37" s="219">
        <f>_KV08</f>
        <v>0</v>
      </c>
      <c r="E37" s="50" t="s">
        <v>17</v>
      </c>
      <c r="G37" s="340"/>
    </row>
    <row r="38" spans="2:7" ht="15" customHeight="1" x14ac:dyDescent="0.25">
      <c r="B38" s="135" t="s">
        <v>19</v>
      </c>
      <c r="D38" s="69"/>
      <c r="E38" s="50" t="s">
        <v>18</v>
      </c>
      <c r="G38" s="340" t="s">
        <v>1789</v>
      </c>
    </row>
    <row r="39" spans="2:7" ht="15" customHeight="1" x14ac:dyDescent="0.25">
      <c r="B39" s="135" t="s">
        <v>1306</v>
      </c>
      <c r="D39" s="69"/>
      <c r="E39" s="50" t="s">
        <v>1305</v>
      </c>
      <c r="G39" s="340"/>
    </row>
    <row r="40" spans="2:7" ht="15" customHeight="1" thickBot="1" x14ac:dyDescent="0.3">
      <c r="B40" s="135" t="s">
        <v>857</v>
      </c>
      <c r="D40" s="69"/>
      <c r="E40" s="50" t="s">
        <v>858</v>
      </c>
      <c r="G40" s="340"/>
    </row>
    <row r="41" spans="2:7" ht="15" customHeight="1" thickBot="1" x14ac:dyDescent="0.35">
      <c r="D41" s="21">
        <f>IF(AND(ISBLANK(_KV09),ISBLANK(_RA02),ISBLANK(_KV08)),0,SUM(D37:D40))</f>
        <v>0</v>
      </c>
      <c r="E41" s="11" t="s">
        <v>400</v>
      </c>
      <c r="G41" s="155"/>
    </row>
    <row r="42" spans="2:7" ht="10" customHeight="1" x14ac:dyDescent="0.25">
      <c r="G42" s="155"/>
    </row>
    <row r="43" spans="2:7" ht="13" x14ac:dyDescent="0.3">
      <c r="B43" s="12" t="s">
        <v>1220</v>
      </c>
      <c r="G43" s="155"/>
    </row>
    <row r="44" spans="2:7" hidden="1" x14ac:dyDescent="0.25">
      <c r="B44" t="s">
        <v>537</v>
      </c>
      <c r="D44" t="str">
        <f>IF(_WAEH=2,"volle DM","volle EURO")</f>
        <v>volle EURO</v>
      </c>
      <c r="G44" s="155"/>
    </row>
    <row r="45" spans="2:7" hidden="1" x14ac:dyDescent="0.25">
      <c r="B45" t="s">
        <v>771</v>
      </c>
      <c r="D45" s="19"/>
      <c r="E45" s="10" t="s">
        <v>401</v>
      </c>
      <c r="G45" s="155"/>
    </row>
    <row r="46" spans="2:7" ht="10" hidden="1" customHeight="1" x14ac:dyDescent="0.25">
      <c r="G46" s="155"/>
    </row>
    <row r="47" spans="2:7" x14ac:dyDescent="0.25">
      <c r="D47" s="138" t="str">
        <f>IF(_WAEH=2,"volle DM","volle EURO")</f>
        <v>volle EURO</v>
      </c>
      <c r="G47" s="155"/>
    </row>
    <row r="48" spans="2:7" ht="15" customHeight="1" x14ac:dyDescent="0.25">
      <c r="B48" t="s">
        <v>1221</v>
      </c>
      <c r="D48" s="62">
        <f>SUM(_KV10+_LV10+_SL10+_FK50+_FK10+_RBAU+'Teil I - S.4'!E35+_XX07+_EK10+_SP10)</f>
        <v>0</v>
      </c>
      <c r="E48" s="10" t="s">
        <v>402</v>
      </c>
      <c r="G48" s="340"/>
    </row>
    <row r="49" spans="2:7" x14ac:dyDescent="0.25">
      <c r="G49" s="32"/>
    </row>
    <row r="57" spans="2:7" ht="13" x14ac:dyDescent="0.3">
      <c r="B57" s="12"/>
    </row>
    <row r="62" spans="2:7" ht="13" x14ac:dyDescent="0.3">
      <c r="B62" s="1"/>
    </row>
    <row r="63" spans="2:7" ht="13" x14ac:dyDescent="0.3">
      <c r="B63" s="1"/>
    </row>
    <row r="71" spans="2:2" x14ac:dyDescent="0.25">
      <c r="B71" s="13"/>
    </row>
    <row r="72" spans="2:2" x14ac:dyDescent="0.25">
      <c r="B72" s="13"/>
    </row>
    <row r="73" spans="2:2" x14ac:dyDescent="0.25">
      <c r="B73" s="7"/>
    </row>
    <row r="74" spans="2:2" x14ac:dyDescent="0.25">
      <c r="B74" s="7"/>
    </row>
    <row r="75" spans="2:2" x14ac:dyDescent="0.25">
      <c r="B75" s="7"/>
    </row>
    <row r="76" spans="2:2" x14ac:dyDescent="0.25">
      <c r="B76" s="9"/>
    </row>
    <row r="79" spans="2:2" x14ac:dyDescent="0.25">
      <c r="B79" s="9"/>
    </row>
    <row r="82" spans="2:3" ht="13" x14ac:dyDescent="0.3">
      <c r="B82" s="12"/>
    </row>
    <row r="89" spans="2:3" ht="13" x14ac:dyDescent="0.3">
      <c r="B89" s="12"/>
    </row>
    <row r="91" spans="2:3" ht="13" x14ac:dyDescent="0.3">
      <c r="C91" s="1"/>
    </row>
    <row r="92" spans="2:3" ht="13" x14ac:dyDescent="0.3">
      <c r="C92" s="1"/>
    </row>
    <row r="93" spans="2:3" ht="13" x14ac:dyDescent="0.3">
      <c r="C93" s="1"/>
    </row>
    <row r="94" spans="2:3" ht="13" x14ac:dyDescent="0.3">
      <c r="C94" s="1"/>
    </row>
    <row r="95" spans="2:3" ht="13" x14ac:dyDescent="0.3">
      <c r="C95" s="1"/>
    </row>
    <row r="96" spans="2:3" ht="13" x14ac:dyDescent="0.3">
      <c r="C96" s="1"/>
    </row>
    <row r="97" spans="2:6" ht="13" x14ac:dyDescent="0.3">
      <c r="C97" s="1"/>
    </row>
    <row r="98" spans="2:6" ht="13" x14ac:dyDescent="0.3">
      <c r="C98" s="1"/>
    </row>
    <row r="99" spans="2:6" ht="13" x14ac:dyDescent="0.3">
      <c r="C99" s="1"/>
    </row>
    <row r="100" spans="2:6" ht="13" x14ac:dyDescent="0.3">
      <c r="C100" s="1"/>
    </row>
    <row r="101" spans="2:6" ht="13" x14ac:dyDescent="0.3">
      <c r="C101" s="1"/>
    </row>
    <row r="102" spans="2:6" ht="13" x14ac:dyDescent="0.3">
      <c r="C102" s="1"/>
    </row>
    <row r="103" spans="2:6" ht="13" x14ac:dyDescent="0.3">
      <c r="C103" s="1"/>
    </row>
    <row r="104" spans="2:6" ht="13" x14ac:dyDescent="0.3">
      <c r="C104" s="1"/>
    </row>
    <row r="105" spans="2:6" ht="13" x14ac:dyDescent="0.3">
      <c r="C105" s="1"/>
    </row>
    <row r="106" spans="2:6" ht="13" x14ac:dyDescent="0.3">
      <c r="C106" s="1"/>
      <c r="F106" s="1"/>
    </row>
    <row r="107" spans="2:6" ht="13" x14ac:dyDescent="0.3">
      <c r="B107" s="1"/>
      <c r="C107" s="1"/>
      <c r="F107" s="1"/>
    </row>
    <row r="108" spans="2:6" ht="13" x14ac:dyDescent="0.3">
      <c r="B108" s="1"/>
      <c r="C108" s="1"/>
      <c r="F108" s="1"/>
    </row>
    <row r="109" spans="2:6" ht="13" x14ac:dyDescent="0.3">
      <c r="C109" s="1"/>
      <c r="D109" s="1"/>
      <c r="E109" s="1"/>
      <c r="F109" s="1"/>
    </row>
    <row r="110" spans="2:6" ht="13" x14ac:dyDescent="0.3">
      <c r="C110" s="1"/>
      <c r="D110" s="1"/>
      <c r="E110" s="1"/>
      <c r="F110" s="1"/>
    </row>
    <row r="111" spans="2:6" ht="13" x14ac:dyDescent="0.3">
      <c r="C111" s="1"/>
      <c r="D111" s="1"/>
      <c r="E111" s="1"/>
      <c r="F111" s="1"/>
    </row>
    <row r="112" spans="2:6" ht="13" x14ac:dyDescent="0.3">
      <c r="D112" s="1"/>
      <c r="E112" s="1"/>
      <c r="F112" s="1"/>
    </row>
    <row r="113" spans="2:6" ht="13" x14ac:dyDescent="0.3">
      <c r="B113" s="8"/>
      <c r="C113" s="1"/>
      <c r="D113" s="1"/>
      <c r="E113" s="1"/>
      <c r="F113" s="1"/>
    </row>
    <row r="114" spans="2:6" ht="13" x14ac:dyDescent="0.3">
      <c r="D114" s="1"/>
      <c r="E114" s="1"/>
      <c r="F114" s="1"/>
    </row>
    <row r="115" spans="2:6" ht="13" x14ac:dyDescent="0.3">
      <c r="D115" s="1"/>
      <c r="E115" s="1"/>
      <c r="F115" s="1"/>
    </row>
    <row r="116" spans="2:6" ht="13" x14ac:dyDescent="0.3">
      <c r="D116" s="1"/>
      <c r="E116" s="1"/>
      <c r="F116" s="1"/>
    </row>
    <row r="117" spans="2:6" ht="13" x14ac:dyDescent="0.3">
      <c r="D117" s="1"/>
      <c r="E117" s="1"/>
      <c r="F117" s="1"/>
    </row>
    <row r="118" spans="2:6" ht="13" x14ac:dyDescent="0.3">
      <c r="D118" s="1"/>
      <c r="E118" s="1"/>
      <c r="F118" s="1"/>
    </row>
    <row r="119" spans="2:6" ht="13" x14ac:dyDescent="0.3">
      <c r="D119" s="1"/>
      <c r="E119" s="1"/>
      <c r="F119" s="1"/>
    </row>
  </sheetData>
  <sheetProtection password="92CE" sheet="1"/>
  <phoneticPr fontId="0" type="noConversion"/>
  <dataValidations count="1">
    <dataValidation type="decimal" operator="greaterThan" allowBlank="1" showInputMessage="1" showErrorMessage="1" errorTitle="Tilgungen" error="Die Angabe muss numerisch erfolgen und darf nicht &quot;0&quot; sein" sqref="D16" xr:uid="{00000000-0002-0000-0400-000000000000}">
      <formula1>0</formula1>
    </dataValidation>
  </dataValidations>
  <pageMargins left="0.78740157499999996" right="0.49" top="0.7" bottom="0.984251969" header="0.4921259845" footer="0.4921259845"/>
  <pageSetup paperSize="9" orientation="portrait" horizontalDpi="4294967292" verticalDpi="300" r:id="rId1"/>
  <headerFooter alignWithMargins="0">
    <oddFooter>&amp;C&amp;"Arial,Fett"Teil I - Seite 5</oddFooter>
  </headerFooter>
  <drawing r:id="rId2"/>
  <legacyDrawing r:id="rId3"/>
  <controls>
    <mc:AlternateContent xmlns:mc="http://schemas.openxmlformats.org/markup-compatibility/2006">
      <mc:Choice Requires="x14">
        <control shapeId="9217" r:id="rId4" name="CommandButton1">
          <controlPr defaultSize="0" autoLine="0" r:id="rId5">
            <anchor moveWithCells="1">
              <from>
                <xdr:col>0</xdr:col>
                <xdr:colOff>38100</xdr:colOff>
                <xdr:row>50</xdr:row>
                <xdr:rowOff>0</xdr:rowOff>
              </from>
              <to>
                <xdr:col>1</xdr:col>
                <xdr:colOff>762000</xdr:colOff>
                <xdr:row>52</xdr:row>
                <xdr:rowOff>12700</xdr:rowOff>
              </to>
            </anchor>
          </controlPr>
        </control>
      </mc:Choice>
      <mc:Fallback>
        <control shapeId="9217" r:id="rId4" name="CommandButton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pageSetUpPr fitToPage="1"/>
  </sheetPr>
  <dimension ref="B2:G133"/>
  <sheetViews>
    <sheetView showGridLines="0" workbookViewId="0">
      <selection activeCell="D6" sqref="D6"/>
    </sheetView>
  </sheetViews>
  <sheetFormatPr baseColWidth="10" defaultRowHeight="12.5" x14ac:dyDescent="0.25"/>
  <cols>
    <col min="1" max="1" width="3.81640625" customWidth="1"/>
    <col min="2" max="2" width="69.81640625" customWidth="1"/>
    <col min="3" max="3" width="0.54296875" customWidth="1"/>
    <col min="4" max="4" width="16.7265625" customWidth="1"/>
    <col min="5" max="5" width="6.7265625" customWidth="1"/>
    <col min="6" max="6" width="4.26953125" style="127" customWidth="1"/>
    <col min="7" max="7" width="28.453125" customWidth="1"/>
  </cols>
  <sheetData>
    <row r="2" spans="2:7" ht="14" x14ac:dyDescent="0.3">
      <c r="B2" s="139" t="s">
        <v>1174</v>
      </c>
    </row>
    <row r="3" spans="2:7" ht="13" x14ac:dyDescent="0.3">
      <c r="B3" s="1"/>
    </row>
    <row r="4" spans="2:7" ht="13" x14ac:dyDescent="0.3">
      <c r="B4" s="12" t="s">
        <v>1175</v>
      </c>
    </row>
    <row r="5" spans="2:7" ht="13" x14ac:dyDescent="0.3">
      <c r="B5" s="1"/>
      <c r="D5" s="138" t="str">
        <f>IF(_WAEH=2,"volle DM","volle EURO")</f>
        <v>volle EURO</v>
      </c>
    </row>
    <row r="6" spans="2:7" ht="15" customHeight="1" x14ac:dyDescent="0.25">
      <c r="B6" t="s">
        <v>791</v>
      </c>
      <c r="D6" s="62"/>
      <c r="E6" s="10" t="s">
        <v>403</v>
      </c>
      <c r="G6" s="340"/>
    </row>
    <row r="7" spans="2:7" ht="13" x14ac:dyDescent="0.3">
      <c r="B7" s="1"/>
      <c r="G7" s="155"/>
    </row>
    <row r="8" spans="2:7" ht="13" x14ac:dyDescent="0.3">
      <c r="B8" s="1" t="s">
        <v>792</v>
      </c>
      <c r="G8" s="155"/>
    </row>
    <row r="9" spans="2:7" x14ac:dyDescent="0.25">
      <c r="G9" s="155"/>
    </row>
    <row r="10" spans="2:7" ht="13" x14ac:dyDescent="0.3">
      <c r="B10" s="151" t="s">
        <v>619</v>
      </c>
      <c r="D10" s="138" t="str">
        <f>IF(_WAEH=2,"volle DM","volle EURO")</f>
        <v>volle EURO</v>
      </c>
      <c r="G10" s="155"/>
    </row>
    <row r="11" spans="2:7" ht="15" customHeight="1" x14ac:dyDescent="0.25">
      <c r="B11" s="147" t="s">
        <v>585</v>
      </c>
      <c r="D11" s="62"/>
      <c r="E11" s="10" t="s">
        <v>404</v>
      </c>
      <c r="G11" s="340"/>
    </row>
    <row r="12" spans="2:7" ht="15" customHeight="1" x14ac:dyDescent="0.3">
      <c r="B12" s="152" t="s">
        <v>35</v>
      </c>
      <c r="D12" s="62"/>
      <c r="E12" s="10" t="s">
        <v>405</v>
      </c>
      <c r="F12" s="28"/>
      <c r="G12" s="340"/>
    </row>
    <row r="13" spans="2:7" ht="15" customHeight="1" x14ac:dyDescent="0.3">
      <c r="B13" s="147" t="s">
        <v>586</v>
      </c>
      <c r="D13" s="62"/>
      <c r="E13" s="10" t="s">
        <v>406</v>
      </c>
      <c r="F13" s="28"/>
      <c r="G13" s="340"/>
    </row>
    <row r="14" spans="2:7" ht="6" customHeight="1" x14ac:dyDescent="0.3">
      <c r="B14" s="152"/>
      <c r="D14" s="208"/>
      <c r="E14" s="63"/>
      <c r="F14" s="28"/>
      <c r="G14" s="155"/>
    </row>
    <row r="15" spans="2:7" ht="15" customHeight="1" x14ac:dyDescent="0.3">
      <c r="B15" s="153" t="s">
        <v>864</v>
      </c>
      <c r="D15" s="62"/>
      <c r="E15" s="10" t="s">
        <v>48</v>
      </c>
      <c r="F15" s="28"/>
      <c r="G15" s="340"/>
    </row>
    <row r="16" spans="2:7" ht="6" customHeight="1" x14ac:dyDescent="0.3">
      <c r="B16" s="131"/>
      <c r="D16" s="208"/>
      <c r="E16" s="63"/>
      <c r="F16" s="28"/>
      <c r="G16" s="155"/>
    </row>
    <row r="17" spans="2:7" ht="15" customHeight="1" x14ac:dyDescent="0.3">
      <c r="B17" s="151" t="s">
        <v>620</v>
      </c>
      <c r="D17" s="209"/>
      <c r="E17" s="124"/>
      <c r="F17" s="28"/>
      <c r="G17" s="155"/>
    </row>
    <row r="18" spans="2:7" ht="15" customHeight="1" x14ac:dyDescent="0.3">
      <c r="B18" s="147" t="s">
        <v>123</v>
      </c>
      <c r="D18" s="62"/>
      <c r="E18" s="10" t="s">
        <v>407</v>
      </c>
      <c r="F18" s="28"/>
      <c r="G18" s="340"/>
    </row>
    <row r="19" spans="2:7" ht="15" customHeight="1" x14ac:dyDescent="0.3">
      <c r="B19" s="147" t="s">
        <v>124</v>
      </c>
      <c r="D19" s="62"/>
      <c r="E19" s="10" t="s">
        <v>408</v>
      </c>
      <c r="F19" s="28"/>
      <c r="G19" s="340"/>
    </row>
    <row r="20" spans="2:7" ht="15" customHeight="1" x14ac:dyDescent="0.3">
      <c r="B20" s="147" t="s">
        <v>125</v>
      </c>
      <c r="D20" s="62"/>
      <c r="E20" s="10" t="s">
        <v>409</v>
      </c>
      <c r="F20" s="28"/>
      <c r="G20" s="340"/>
    </row>
    <row r="21" spans="2:7" ht="9" customHeight="1" x14ac:dyDescent="0.3">
      <c r="B21" s="7"/>
      <c r="D21" s="26"/>
      <c r="F21" s="28"/>
      <c r="G21" s="155"/>
    </row>
    <row r="22" spans="2:7" ht="15" customHeight="1" x14ac:dyDescent="0.3">
      <c r="B22" s="147" t="s">
        <v>621</v>
      </c>
      <c r="D22" s="62"/>
      <c r="E22" s="10" t="s">
        <v>853</v>
      </c>
      <c r="F22" s="28"/>
      <c r="G22" s="340"/>
    </row>
    <row r="23" spans="2:7" ht="10" customHeight="1" x14ac:dyDescent="0.3">
      <c r="F23" s="28"/>
      <c r="G23" s="155"/>
    </row>
    <row r="24" spans="2:7" ht="13" x14ac:dyDescent="0.3">
      <c r="B24" s="151" t="s">
        <v>179</v>
      </c>
      <c r="D24" s="138" t="str">
        <f>IF(_WAEH=2,"volle DM","volle EURO")</f>
        <v>volle EURO</v>
      </c>
      <c r="F24" s="28"/>
      <c r="G24" s="155"/>
    </row>
    <row r="25" spans="2:7" ht="15" customHeight="1" x14ac:dyDescent="0.3">
      <c r="B25" s="156" t="s">
        <v>470</v>
      </c>
      <c r="D25" s="62"/>
      <c r="E25" s="10" t="s">
        <v>410</v>
      </c>
      <c r="F25" s="28"/>
      <c r="G25" s="340"/>
    </row>
    <row r="26" spans="2:7" ht="15" customHeight="1" x14ac:dyDescent="0.3">
      <c r="B26" s="147" t="s">
        <v>1135</v>
      </c>
      <c r="D26" s="62"/>
      <c r="E26" s="10" t="s">
        <v>622</v>
      </c>
      <c r="F26" s="28"/>
      <c r="G26" s="340"/>
    </row>
    <row r="27" spans="2:7" ht="8.25" customHeight="1" x14ac:dyDescent="0.3">
      <c r="F27" s="28"/>
      <c r="G27" s="155"/>
    </row>
    <row r="28" spans="2:7" ht="13" thickBot="1" x14ac:dyDescent="0.3">
      <c r="D28" s="138" t="str">
        <f>IF(_WAEH=2,"volle DM","volle EURO")</f>
        <v>volle EURO</v>
      </c>
      <c r="G28" s="155"/>
    </row>
    <row r="29" spans="2:7" ht="15" customHeight="1" thickBot="1" x14ac:dyDescent="0.35">
      <c r="B29" s="1" t="s">
        <v>793</v>
      </c>
      <c r="D29" s="21" t="str">
        <f>IF(AND(ISBLANK(_UE01),ISBLANK(_UE02),ISBLANK(_UE03),ISBLANK(_ES11),ISBLANK(_ES12),ISBLANK(_ES02),ISBLANK(_UE04),ISBLANK(_UE06),ISBLANK(_UE07)),"",_UE01+_UE02+_UE03-_ES11-_ES12-_ES02+_UE04+_UE06+_UE07)</f>
        <v/>
      </c>
      <c r="E29" s="11" t="s">
        <v>587</v>
      </c>
      <c r="F29" s="127" t="str">
        <f>IF(_UE10&lt;&gt;_XX13,"Fehlerhinweis! UE10 muss XX13 entsprechen","")</f>
        <v/>
      </c>
      <c r="G29" s="155"/>
    </row>
    <row r="30" spans="2:7" x14ac:dyDescent="0.25">
      <c r="G30" s="155"/>
    </row>
    <row r="31" spans="2:7" ht="13" x14ac:dyDescent="0.3">
      <c r="B31" s="12" t="s">
        <v>1176</v>
      </c>
      <c r="G31" s="155"/>
    </row>
    <row r="32" spans="2:7" x14ac:dyDescent="0.25">
      <c r="D32" s="138" t="str">
        <f>IF(_WAEH=2,"volle DM","volle EURO")</f>
        <v>volle EURO</v>
      </c>
      <c r="G32" s="155"/>
    </row>
    <row r="33" spans="2:7" ht="15" customHeight="1" x14ac:dyDescent="0.25">
      <c r="B33" t="s">
        <v>791</v>
      </c>
      <c r="D33" s="62"/>
      <c r="E33" s="10" t="s">
        <v>411</v>
      </c>
      <c r="G33" s="340"/>
    </row>
    <row r="34" spans="2:7" x14ac:dyDescent="0.25">
      <c r="B34" s="9"/>
      <c r="D34" s="26"/>
      <c r="G34" s="155"/>
    </row>
    <row r="35" spans="2:7" ht="15" customHeight="1" x14ac:dyDescent="0.25">
      <c r="B35" s="9" t="s">
        <v>916</v>
      </c>
      <c r="D35" s="138" t="str">
        <f>IF(_WAEH=2,"volle DM","volle EURO")</f>
        <v>volle EURO</v>
      </c>
      <c r="G35" s="155"/>
    </row>
    <row r="36" spans="2:7" ht="15" customHeight="1" x14ac:dyDescent="0.25">
      <c r="B36" t="s">
        <v>126</v>
      </c>
      <c r="D36" s="62"/>
      <c r="E36" s="10" t="s">
        <v>34</v>
      </c>
      <c r="G36" s="340"/>
    </row>
    <row r="37" spans="2:7" ht="26.25" customHeight="1" x14ac:dyDescent="0.25">
      <c r="B37" t="s">
        <v>917</v>
      </c>
      <c r="D37" s="62"/>
      <c r="E37" s="10" t="s">
        <v>1173</v>
      </c>
      <c r="G37" s="340"/>
    </row>
    <row r="38" spans="2:7" ht="9" customHeight="1" x14ac:dyDescent="0.25">
      <c r="G38" s="155"/>
    </row>
    <row r="39" spans="2:7" ht="52.5" customHeight="1" x14ac:dyDescent="0.25">
      <c r="B39" s="197" t="s">
        <v>168</v>
      </c>
      <c r="D39" s="62"/>
      <c r="E39" s="10" t="s">
        <v>1241</v>
      </c>
      <c r="G39" s="340" t="s">
        <v>1865</v>
      </c>
    </row>
    <row r="40" spans="2:7" x14ac:dyDescent="0.25">
      <c r="G40" s="155"/>
    </row>
    <row r="41" spans="2:7" x14ac:dyDescent="0.25">
      <c r="G41" s="155"/>
    </row>
    <row r="42" spans="2:7" x14ac:dyDescent="0.25">
      <c r="D42" s="138" t="str">
        <f>IF(_WAEH=2,"volle DM","volle EURO")</f>
        <v>volle EURO</v>
      </c>
      <c r="G42" s="155"/>
    </row>
    <row r="43" spans="2:7" ht="15" customHeight="1" x14ac:dyDescent="0.3">
      <c r="B43" s="70" t="s">
        <v>1177</v>
      </c>
      <c r="D43" s="62"/>
      <c r="E43" s="10" t="s">
        <v>412</v>
      </c>
      <c r="G43" s="340"/>
    </row>
    <row r="44" spans="2:7" x14ac:dyDescent="0.25">
      <c r="B44" s="41"/>
      <c r="G44" s="155"/>
    </row>
    <row r="45" spans="2:7" ht="13" x14ac:dyDescent="0.3">
      <c r="B45" s="70" t="s">
        <v>122</v>
      </c>
      <c r="D45" s="138" t="str">
        <f>IF(_WAEH=2,"volle DM","volle EURO")</f>
        <v>volle EURO</v>
      </c>
      <c r="G45" s="155"/>
    </row>
    <row r="46" spans="2:7" ht="15" customHeight="1" x14ac:dyDescent="0.3">
      <c r="B46" s="70" t="s">
        <v>121</v>
      </c>
      <c r="D46" s="62"/>
      <c r="E46" s="10" t="s">
        <v>413</v>
      </c>
      <c r="G46" s="340"/>
    </row>
    <row r="47" spans="2:7" ht="13" x14ac:dyDescent="0.3">
      <c r="B47" s="70"/>
      <c r="D47" s="26"/>
    </row>
    <row r="49" spans="2:2" x14ac:dyDescent="0.25">
      <c r="B49" s="9"/>
    </row>
    <row r="51" spans="2:2" x14ac:dyDescent="0.25">
      <c r="B51" s="7"/>
    </row>
    <row r="56" spans="2:2" ht="13" x14ac:dyDescent="0.3">
      <c r="B56" s="1"/>
    </row>
    <row r="58" spans="2:2" x14ac:dyDescent="0.25">
      <c r="B58" s="9"/>
    </row>
    <row r="59" spans="2:2" ht="13" x14ac:dyDescent="0.3">
      <c r="B59" s="12"/>
    </row>
    <row r="63" spans="2:2" x14ac:dyDescent="0.25">
      <c r="B63" s="9"/>
    </row>
    <row r="66" spans="2:2" ht="13" x14ac:dyDescent="0.3">
      <c r="B66" s="12"/>
    </row>
    <row r="69" spans="2:2" ht="13" x14ac:dyDescent="0.3">
      <c r="B69" s="12"/>
    </row>
    <row r="84" spans="2:2" ht="13" x14ac:dyDescent="0.3">
      <c r="B84" s="12"/>
    </row>
    <row r="89" spans="2:2" ht="13" x14ac:dyDescent="0.3">
      <c r="B89" s="1"/>
    </row>
    <row r="90" spans="2:2" ht="13" x14ac:dyDescent="0.3">
      <c r="B90" s="1"/>
    </row>
    <row r="98" spans="2:2" x14ac:dyDescent="0.25">
      <c r="B98" s="13"/>
    </row>
    <row r="99" spans="2:2" x14ac:dyDescent="0.25">
      <c r="B99" s="13"/>
    </row>
    <row r="100" spans="2:2" x14ac:dyDescent="0.25">
      <c r="B100" s="7"/>
    </row>
    <row r="101" spans="2:2" x14ac:dyDescent="0.25">
      <c r="B101" s="7"/>
    </row>
    <row r="102" spans="2:2" x14ac:dyDescent="0.25">
      <c r="B102" s="7"/>
    </row>
    <row r="103" spans="2:2" x14ac:dyDescent="0.25">
      <c r="B103" s="9"/>
    </row>
    <row r="106" spans="2:2" x14ac:dyDescent="0.25">
      <c r="B106" s="9"/>
    </row>
    <row r="109" spans="2:2" ht="13" x14ac:dyDescent="0.3">
      <c r="B109" s="12"/>
    </row>
    <row r="116" spans="2:3" ht="13" x14ac:dyDescent="0.3">
      <c r="B116" s="12"/>
    </row>
    <row r="118" spans="2:3" ht="13" x14ac:dyDescent="0.3">
      <c r="C118" s="1"/>
    </row>
    <row r="119" spans="2:3" ht="13" x14ac:dyDescent="0.3">
      <c r="C119" s="1"/>
    </row>
    <row r="120" spans="2:3" ht="13" x14ac:dyDescent="0.3">
      <c r="C120" s="1"/>
    </row>
    <row r="121" spans="2:3" ht="13" x14ac:dyDescent="0.3">
      <c r="C121" s="1"/>
    </row>
    <row r="122" spans="2:3" ht="13" x14ac:dyDescent="0.3">
      <c r="C122" s="1"/>
    </row>
    <row r="123" spans="2:3" ht="13" x14ac:dyDescent="0.3">
      <c r="C123" s="1"/>
    </row>
    <row r="124" spans="2:3" ht="13" x14ac:dyDescent="0.3">
      <c r="C124" s="1"/>
    </row>
    <row r="125" spans="2:3" ht="13" x14ac:dyDescent="0.3">
      <c r="C125" s="1"/>
    </row>
    <row r="126" spans="2:3" ht="13" x14ac:dyDescent="0.3">
      <c r="C126" s="1"/>
    </row>
    <row r="127" spans="2:3" ht="13" x14ac:dyDescent="0.3">
      <c r="C127" s="1"/>
    </row>
    <row r="128" spans="2:3" ht="13" x14ac:dyDescent="0.3">
      <c r="C128" s="1"/>
    </row>
    <row r="129" spans="3:6" ht="13" x14ac:dyDescent="0.3">
      <c r="C129" s="1"/>
    </row>
    <row r="130" spans="3:6" ht="13" x14ac:dyDescent="0.3">
      <c r="C130" s="1"/>
    </row>
    <row r="131" spans="3:6" ht="13" x14ac:dyDescent="0.3">
      <c r="C131" s="1"/>
    </row>
    <row r="132" spans="3:6" ht="13" x14ac:dyDescent="0.3">
      <c r="C132" s="1"/>
    </row>
    <row r="133" spans="3:6" ht="13" x14ac:dyDescent="0.3">
      <c r="C133" s="1"/>
      <c r="F133" s="194"/>
    </row>
  </sheetData>
  <sheetProtection password="92CE" sheet="1"/>
  <phoneticPr fontId="0" type="noConversion"/>
  <pageMargins left="0.78740157499999996" right="0.32" top="0.7" bottom="0.77" header="0.4921259845" footer="0.4921259845"/>
  <pageSetup paperSize="9" scale="99" orientation="portrait" horizontalDpi="4294967292" r:id="rId1"/>
  <headerFooter alignWithMargins="0">
    <oddFooter>&amp;C&amp;"Arial,Fett"Teil I - Seite 6</oddFooter>
  </headerFooter>
  <drawing r:id="rId2"/>
  <legacyDrawing r:id="rId3"/>
  <controls>
    <mc:AlternateContent xmlns:mc="http://schemas.openxmlformats.org/markup-compatibility/2006">
      <mc:Choice Requires="x14">
        <control shapeId="10241" r:id="rId4" name="CommandButton1">
          <controlPr defaultSize="0" autoLine="0" r:id="rId5">
            <anchor moveWithCells="1">
              <from>
                <xdr:col>0</xdr:col>
                <xdr:colOff>25400</xdr:colOff>
                <xdr:row>46</xdr:row>
                <xdr:rowOff>101600</xdr:rowOff>
              </from>
              <to>
                <xdr:col>1</xdr:col>
                <xdr:colOff>908050</xdr:colOff>
                <xdr:row>48</xdr:row>
                <xdr:rowOff>114300</xdr:rowOff>
              </to>
            </anchor>
          </controlPr>
        </control>
      </mc:Choice>
      <mc:Fallback>
        <control shapeId="10241" r:id="rId4" name="CommandButton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4">
    <pageSetUpPr fitToPage="1"/>
  </sheetPr>
  <dimension ref="B2:G162"/>
  <sheetViews>
    <sheetView showGridLines="0" workbookViewId="0">
      <selection activeCell="D6" sqref="D6"/>
    </sheetView>
  </sheetViews>
  <sheetFormatPr baseColWidth="10" defaultRowHeight="12.5" x14ac:dyDescent="0.25"/>
  <cols>
    <col min="1" max="1" width="1.81640625" customWidth="1"/>
    <col min="2" max="2" width="76.7265625" customWidth="1"/>
    <col min="3" max="3" width="1.453125" customWidth="1"/>
    <col min="4" max="4" width="16.7265625" customWidth="1"/>
    <col min="5" max="5" width="6.7265625" customWidth="1"/>
    <col min="6" max="6" width="3.453125" customWidth="1"/>
    <col min="7" max="7" width="25.1796875" customWidth="1"/>
  </cols>
  <sheetData>
    <row r="2" spans="2:7" ht="13" x14ac:dyDescent="0.3">
      <c r="B2" s="1" t="s">
        <v>1149</v>
      </c>
    </row>
    <row r="3" spans="2:7" ht="13" x14ac:dyDescent="0.3">
      <c r="B3" s="1" t="s">
        <v>1150</v>
      </c>
    </row>
    <row r="4" spans="2:7" ht="13" x14ac:dyDescent="0.3">
      <c r="B4" s="12"/>
    </row>
    <row r="5" spans="2:7" ht="13" x14ac:dyDescent="0.3">
      <c r="B5" s="12"/>
      <c r="D5" s="138" t="str">
        <f>IF(_WAEH=2,"volle DM","volle EURO")</f>
        <v>volle EURO</v>
      </c>
    </row>
    <row r="6" spans="2:7" ht="15" customHeight="1" x14ac:dyDescent="0.25">
      <c r="B6" t="s">
        <v>791</v>
      </c>
      <c r="D6" s="62"/>
      <c r="E6" s="10" t="s">
        <v>588</v>
      </c>
      <c r="G6" s="340"/>
    </row>
    <row r="7" spans="2:7" ht="10" customHeight="1" x14ac:dyDescent="0.25">
      <c r="G7" s="155"/>
    </row>
    <row r="8" spans="2:7" ht="13" x14ac:dyDescent="0.3">
      <c r="B8" s="1" t="s">
        <v>792</v>
      </c>
      <c r="G8" s="155"/>
    </row>
    <row r="9" spans="2:7" ht="6.75" customHeight="1" x14ac:dyDescent="0.3">
      <c r="B9" s="1"/>
      <c r="G9" s="155"/>
    </row>
    <row r="10" spans="2:7" ht="13" x14ac:dyDescent="0.3">
      <c r="B10" s="150" t="s">
        <v>128</v>
      </c>
      <c r="G10" s="155"/>
    </row>
    <row r="11" spans="2:7" ht="4.5" customHeight="1" x14ac:dyDescent="0.25">
      <c r="G11" s="155"/>
    </row>
    <row r="12" spans="2:7" x14ac:dyDescent="0.25">
      <c r="B12" s="132" t="s">
        <v>129</v>
      </c>
      <c r="D12" s="138" t="str">
        <f>IF(_WAEH=2,"volle DM","volle EURO")</f>
        <v>volle EURO</v>
      </c>
      <c r="G12" s="155"/>
    </row>
    <row r="13" spans="2:7" ht="15" customHeight="1" x14ac:dyDescent="0.25">
      <c r="B13" s="131" t="s">
        <v>130</v>
      </c>
      <c r="D13" s="62"/>
      <c r="E13" s="10" t="s">
        <v>414</v>
      </c>
      <c r="G13" s="340"/>
    </row>
    <row r="14" spans="2:7" ht="11.25" customHeight="1" x14ac:dyDescent="0.25">
      <c r="B14" s="131"/>
      <c r="D14" s="208"/>
      <c r="E14" s="63"/>
      <c r="G14" s="155"/>
    </row>
    <row r="15" spans="2:7" ht="15" customHeight="1" x14ac:dyDescent="0.3">
      <c r="B15" s="150" t="s">
        <v>127</v>
      </c>
      <c r="D15" s="26"/>
      <c r="G15" s="155"/>
    </row>
    <row r="16" spans="2:7" ht="4.5" customHeight="1" x14ac:dyDescent="0.25">
      <c r="G16" s="155"/>
    </row>
    <row r="17" spans="2:7" x14ac:dyDescent="0.25">
      <c r="B17" s="132" t="s">
        <v>129</v>
      </c>
      <c r="D17" s="138" t="str">
        <f>IF(_WAEH=2,"volle DM","volle EURO")</f>
        <v>volle EURO</v>
      </c>
      <c r="G17" s="155"/>
    </row>
    <row r="18" spans="2:7" ht="15" customHeight="1" x14ac:dyDescent="0.25">
      <c r="B18" s="132" t="s">
        <v>471</v>
      </c>
      <c r="D18" s="62"/>
      <c r="E18" s="10" t="s">
        <v>1109</v>
      </c>
      <c r="G18" s="340"/>
    </row>
    <row r="19" spans="2:7" ht="15" customHeight="1" x14ac:dyDescent="0.25">
      <c r="B19" s="132" t="s">
        <v>131</v>
      </c>
      <c r="D19" s="62"/>
      <c r="E19" s="10" t="s">
        <v>590</v>
      </c>
      <c r="G19" s="340"/>
    </row>
    <row r="20" spans="2:7" ht="15" customHeight="1" thickBot="1" x14ac:dyDescent="0.3">
      <c r="B20" s="132" t="s">
        <v>132</v>
      </c>
      <c r="D20" s="62"/>
      <c r="E20" s="10" t="s">
        <v>1110</v>
      </c>
      <c r="G20" s="340"/>
    </row>
    <row r="21" spans="2:7" ht="13.5" thickBot="1" x14ac:dyDescent="0.35">
      <c r="B21" s="1" t="s">
        <v>567</v>
      </c>
      <c r="D21" s="21" t="str">
        <f>IF(AND(ISBLANK(_BV10),ISBLANK(_XX40),ISBLANK(_XX41),ISBLANK(_XX15)),"",_BV10+_XX40+_XX41+_XX15)</f>
        <v/>
      </c>
      <c r="E21" s="11" t="s">
        <v>589</v>
      </c>
      <c r="G21" s="155"/>
    </row>
    <row r="22" spans="2:7" x14ac:dyDescent="0.25">
      <c r="B22" s="7"/>
      <c r="C22" s="7"/>
      <c r="D22" s="26"/>
      <c r="E22" s="7"/>
      <c r="G22" s="155"/>
    </row>
    <row r="23" spans="2:7" x14ac:dyDescent="0.25">
      <c r="B23" s="7"/>
      <c r="C23" s="7"/>
      <c r="D23" s="154" t="str">
        <f>IF(_WAEH=2,"volle DM","volle EURO")</f>
        <v>volle EURO</v>
      </c>
      <c r="E23" s="7"/>
      <c r="G23" s="155"/>
    </row>
    <row r="24" spans="2:7" ht="15" customHeight="1" x14ac:dyDescent="0.3">
      <c r="B24" s="1" t="s">
        <v>1151</v>
      </c>
      <c r="C24" s="7"/>
      <c r="D24" s="62"/>
      <c r="E24" s="10" t="s">
        <v>1197</v>
      </c>
      <c r="G24" s="340"/>
    </row>
    <row r="25" spans="2:7" x14ac:dyDescent="0.25">
      <c r="B25" s="7"/>
      <c r="C25" s="7"/>
      <c r="D25" s="7"/>
      <c r="E25" s="7"/>
      <c r="G25" s="155"/>
    </row>
    <row r="26" spans="2:7" ht="13" x14ac:dyDescent="0.3">
      <c r="B26" s="1"/>
      <c r="D26" s="138" t="str">
        <f>IF(_WAEH=2,"volle DM","volle EURO")</f>
        <v>volle EURO</v>
      </c>
      <c r="G26" s="155"/>
    </row>
    <row r="27" spans="2:7" ht="15" customHeight="1" x14ac:dyDescent="0.3">
      <c r="B27" s="1" t="s">
        <v>1152</v>
      </c>
      <c r="D27" s="62"/>
      <c r="E27" s="10" t="s">
        <v>415</v>
      </c>
      <c r="G27" s="340"/>
    </row>
    <row r="28" spans="2:7" ht="8.25" customHeight="1" x14ac:dyDescent="0.25">
      <c r="G28" s="155"/>
    </row>
    <row r="29" spans="2:7" ht="13" x14ac:dyDescent="0.3">
      <c r="B29" s="1" t="s">
        <v>792</v>
      </c>
      <c r="D29" s="138" t="str">
        <f>IF(_WAEH=2,"volle DM","volle EURO")</f>
        <v>volle EURO</v>
      </c>
      <c r="G29" s="155"/>
    </row>
    <row r="30" spans="2:7" ht="9" customHeight="1" x14ac:dyDescent="0.3">
      <c r="B30" s="1"/>
      <c r="D30" s="138"/>
      <c r="G30" s="155"/>
    </row>
    <row r="31" spans="2:7" ht="15" customHeight="1" x14ac:dyDescent="0.25">
      <c r="B31" t="s">
        <v>1178</v>
      </c>
      <c r="D31" s="62"/>
      <c r="E31" s="10" t="s">
        <v>416</v>
      </c>
      <c r="G31" s="340"/>
    </row>
    <row r="32" spans="2:7" ht="15" customHeight="1" x14ac:dyDescent="0.25">
      <c r="B32" t="s">
        <v>1179</v>
      </c>
      <c r="D32" s="62"/>
      <c r="E32" s="10" t="s">
        <v>417</v>
      </c>
      <c r="G32" s="340"/>
    </row>
    <row r="33" spans="2:7" ht="15" customHeight="1" x14ac:dyDescent="0.25">
      <c r="B33" s="7" t="s">
        <v>175</v>
      </c>
      <c r="D33" s="62"/>
      <c r="E33" s="10" t="s">
        <v>418</v>
      </c>
      <c r="F33" s="127"/>
      <c r="G33" s="340"/>
    </row>
    <row r="34" spans="2:7" ht="15" customHeight="1" x14ac:dyDescent="0.25">
      <c r="B34" s="38" t="s">
        <v>1194</v>
      </c>
      <c r="C34" s="7"/>
      <c r="D34" s="62"/>
      <c r="E34" s="52" t="s">
        <v>20</v>
      </c>
      <c r="G34" s="340"/>
    </row>
    <row r="35" spans="2:7" ht="15" customHeight="1" x14ac:dyDescent="0.25">
      <c r="B35" s="41" t="s">
        <v>176</v>
      </c>
      <c r="D35" s="62"/>
      <c r="E35" s="10" t="s">
        <v>611</v>
      </c>
      <c r="F35" s="127"/>
      <c r="G35" s="340"/>
    </row>
    <row r="36" spans="2:7" ht="15" customHeight="1" x14ac:dyDescent="0.3">
      <c r="B36" s="38" t="s">
        <v>1180</v>
      </c>
      <c r="C36" s="35"/>
      <c r="D36" s="62"/>
      <c r="E36" s="52" t="s">
        <v>354</v>
      </c>
      <c r="F36" s="7"/>
      <c r="G36" s="340" t="s">
        <v>1864</v>
      </c>
    </row>
    <row r="37" spans="2:7" ht="15" customHeight="1" x14ac:dyDescent="0.25">
      <c r="B37" s="41" t="s">
        <v>177</v>
      </c>
      <c r="D37" s="62"/>
      <c r="E37" s="10" t="s">
        <v>612</v>
      </c>
      <c r="F37" s="127"/>
      <c r="G37" s="340"/>
    </row>
    <row r="38" spans="2:7" ht="15" customHeight="1" x14ac:dyDescent="0.25">
      <c r="B38" s="41" t="s">
        <v>776</v>
      </c>
      <c r="D38" s="62"/>
      <c r="E38" s="10" t="s">
        <v>777</v>
      </c>
      <c r="F38" s="127"/>
      <c r="G38" s="340"/>
    </row>
    <row r="39" spans="2:7" ht="15" customHeight="1" x14ac:dyDescent="0.25">
      <c r="B39" s="41" t="s">
        <v>778</v>
      </c>
      <c r="D39" s="62"/>
      <c r="E39" s="10" t="s">
        <v>779</v>
      </c>
      <c r="F39" s="127"/>
      <c r="G39" s="340"/>
    </row>
    <row r="40" spans="2:7" ht="15" customHeight="1" thickBot="1" x14ac:dyDescent="0.3">
      <c r="B40" t="s">
        <v>1195</v>
      </c>
      <c r="D40" s="62"/>
      <c r="E40" s="10" t="s">
        <v>419</v>
      </c>
      <c r="G40" s="340" t="s">
        <v>1863</v>
      </c>
    </row>
    <row r="41" spans="2:7" ht="15" customHeight="1" thickBot="1" x14ac:dyDescent="0.35">
      <c r="B41" s="1" t="s">
        <v>567</v>
      </c>
      <c r="D41" s="21">
        <f>SUM(D31:D40)</f>
        <v>0</v>
      </c>
      <c r="E41" s="11" t="s">
        <v>591</v>
      </c>
      <c r="G41" s="155"/>
    </row>
    <row r="42" spans="2:7" ht="13" x14ac:dyDescent="0.3">
      <c r="B42" s="1"/>
      <c r="D42" s="25"/>
      <c r="E42" s="1"/>
      <c r="G42" s="155"/>
    </row>
    <row r="43" spans="2:7" ht="13" x14ac:dyDescent="0.3">
      <c r="B43" s="12" t="s">
        <v>1196</v>
      </c>
      <c r="D43" s="138" t="str">
        <f>IF(_WAEH=2,"volle DM","volle EURO")</f>
        <v>volle EURO</v>
      </c>
      <c r="E43" s="1"/>
      <c r="G43" s="155"/>
    </row>
    <row r="44" spans="2:7" ht="15" customHeight="1" x14ac:dyDescent="0.3">
      <c r="B44" s="1" t="s">
        <v>1223</v>
      </c>
      <c r="D44" s="71"/>
      <c r="E44" s="40" t="s">
        <v>1225</v>
      </c>
      <c r="G44" s="340"/>
    </row>
    <row r="45" spans="2:7" ht="26" x14ac:dyDescent="0.3">
      <c r="B45" s="39" t="s">
        <v>1252</v>
      </c>
      <c r="D45" s="71"/>
      <c r="E45" s="40" t="s">
        <v>1226</v>
      </c>
      <c r="G45" s="340"/>
    </row>
    <row r="46" spans="2:7" ht="15" customHeight="1" x14ac:dyDescent="0.3">
      <c r="B46" s="1" t="s">
        <v>1224</v>
      </c>
      <c r="D46" s="71"/>
      <c r="E46" s="40" t="s">
        <v>1227</v>
      </c>
      <c r="G46" s="340"/>
    </row>
    <row r="47" spans="2:7" ht="15" customHeight="1" x14ac:dyDescent="0.3">
      <c r="B47" s="1" t="s">
        <v>37</v>
      </c>
      <c r="D47" s="71"/>
      <c r="E47" s="40" t="s">
        <v>36</v>
      </c>
      <c r="G47" s="340"/>
    </row>
    <row r="48" spans="2:7" ht="13" x14ac:dyDescent="0.3">
      <c r="B48" s="1"/>
      <c r="D48" s="25"/>
      <c r="E48" s="1"/>
      <c r="G48" s="7"/>
    </row>
    <row r="49" spans="2:7" ht="13" x14ac:dyDescent="0.3">
      <c r="B49" s="1" t="s">
        <v>1153</v>
      </c>
      <c r="G49" s="7"/>
    </row>
    <row r="50" spans="2:7" ht="8.25" customHeight="1" x14ac:dyDescent="0.25">
      <c r="G50" s="7"/>
    </row>
    <row r="51" spans="2:7" x14ac:dyDescent="0.25">
      <c r="B51" s="41" t="s">
        <v>1124</v>
      </c>
      <c r="G51" s="7"/>
    </row>
    <row r="52" spans="2:7" ht="66" customHeight="1" x14ac:dyDescent="0.25">
      <c r="B52" s="155" t="s">
        <v>1298</v>
      </c>
      <c r="D52" s="138" t="str">
        <f>IF(_WAEH=2,"volle DM","volle EURO")</f>
        <v>volle EURO</v>
      </c>
      <c r="G52" s="7"/>
    </row>
    <row r="53" spans="2:7" ht="15" customHeight="1" x14ac:dyDescent="0.3">
      <c r="B53" s="167" t="s">
        <v>1131</v>
      </c>
      <c r="D53" s="62"/>
      <c r="E53" s="10" t="s">
        <v>856</v>
      </c>
      <c r="G53" s="319" t="s">
        <v>1790</v>
      </c>
    </row>
    <row r="54" spans="2:7" ht="15" customHeight="1" x14ac:dyDescent="0.25">
      <c r="B54" s="41" t="s">
        <v>133</v>
      </c>
    </row>
    <row r="56" spans="2:7" x14ac:dyDescent="0.25">
      <c r="B56" s="7"/>
    </row>
    <row r="58" spans="2:7" x14ac:dyDescent="0.25">
      <c r="B58" s="9"/>
    </row>
    <row r="64" spans="2:7" ht="13" x14ac:dyDescent="0.3">
      <c r="B64" s="1"/>
    </row>
    <row r="66" spans="2:2" ht="13" x14ac:dyDescent="0.3">
      <c r="B66" s="12"/>
    </row>
    <row r="70" spans="2:2" ht="13" x14ac:dyDescent="0.3">
      <c r="B70" s="12"/>
    </row>
    <row r="74" spans="2:2" ht="13" x14ac:dyDescent="0.3">
      <c r="B74" s="12"/>
    </row>
    <row r="79" spans="2:2" x14ac:dyDescent="0.25">
      <c r="B79" s="9"/>
    </row>
    <row r="81" spans="2:2" x14ac:dyDescent="0.25">
      <c r="B81" s="7"/>
    </row>
    <row r="86" spans="2:2" ht="13" x14ac:dyDescent="0.3">
      <c r="B86" s="1"/>
    </row>
    <row r="88" spans="2:2" x14ac:dyDescent="0.25">
      <c r="B88" s="9"/>
    </row>
    <row r="89" spans="2:2" ht="13" x14ac:dyDescent="0.3">
      <c r="B89" s="12"/>
    </row>
    <row r="93" spans="2:2" x14ac:dyDescent="0.25">
      <c r="B93" s="9"/>
    </row>
    <row r="96" spans="2:2" ht="13" x14ac:dyDescent="0.3">
      <c r="B96" s="12"/>
    </row>
    <row r="99" spans="2:2" ht="13" x14ac:dyDescent="0.3">
      <c r="B99" s="12"/>
    </row>
    <row r="114" spans="2:2" ht="13" x14ac:dyDescent="0.3">
      <c r="B114" s="12"/>
    </row>
    <row r="119" spans="2:2" ht="13" x14ac:dyDescent="0.3">
      <c r="B119" s="1"/>
    </row>
    <row r="120" spans="2:2" ht="13" x14ac:dyDescent="0.3">
      <c r="B120" s="1"/>
    </row>
    <row r="128" spans="2:2" x14ac:dyDescent="0.25">
      <c r="B128" s="13"/>
    </row>
    <row r="129" spans="2:2" x14ac:dyDescent="0.25">
      <c r="B129" s="13"/>
    </row>
    <row r="130" spans="2:2" x14ac:dyDescent="0.25">
      <c r="B130" s="7"/>
    </row>
    <row r="131" spans="2:2" x14ac:dyDescent="0.25">
      <c r="B131" s="7"/>
    </row>
    <row r="132" spans="2:2" x14ac:dyDescent="0.25">
      <c r="B132" s="7"/>
    </row>
    <row r="133" spans="2:2" x14ac:dyDescent="0.25">
      <c r="B133" s="9"/>
    </row>
    <row r="136" spans="2:2" x14ac:dyDescent="0.25">
      <c r="B136" s="9"/>
    </row>
    <row r="139" spans="2:2" ht="13" x14ac:dyDescent="0.3">
      <c r="B139" s="12"/>
    </row>
    <row r="146" spans="2:3" ht="13" x14ac:dyDescent="0.3">
      <c r="B146" s="12"/>
    </row>
    <row r="148" spans="2:3" ht="13" x14ac:dyDescent="0.3">
      <c r="C148" s="1"/>
    </row>
    <row r="149" spans="2:3" ht="13" x14ac:dyDescent="0.3">
      <c r="C149" s="1"/>
    </row>
    <row r="150" spans="2:3" ht="13" x14ac:dyDescent="0.3">
      <c r="C150" s="1"/>
    </row>
    <row r="151" spans="2:3" ht="13" x14ac:dyDescent="0.3">
      <c r="C151" s="1"/>
    </row>
    <row r="152" spans="2:3" ht="13" x14ac:dyDescent="0.3">
      <c r="C152" s="1"/>
    </row>
    <row r="153" spans="2:3" ht="13" x14ac:dyDescent="0.3">
      <c r="C153" s="1"/>
    </row>
    <row r="154" spans="2:3" ht="13" x14ac:dyDescent="0.3">
      <c r="C154" s="1"/>
    </row>
    <row r="155" spans="2:3" ht="13" x14ac:dyDescent="0.3">
      <c r="C155" s="1"/>
    </row>
    <row r="156" spans="2:3" ht="13" x14ac:dyDescent="0.3">
      <c r="C156" s="1"/>
    </row>
    <row r="157" spans="2:3" ht="13" x14ac:dyDescent="0.3">
      <c r="C157" s="1"/>
    </row>
    <row r="158" spans="2:3" ht="13" x14ac:dyDescent="0.3">
      <c r="C158" s="1"/>
    </row>
    <row r="159" spans="2:3" ht="13" x14ac:dyDescent="0.3">
      <c r="C159" s="1"/>
    </row>
    <row r="160" spans="2:3" ht="13" x14ac:dyDescent="0.3">
      <c r="C160" s="1"/>
    </row>
    <row r="161" spans="3:3" ht="13" x14ac:dyDescent="0.3">
      <c r="C161" s="1"/>
    </row>
    <row r="162" spans="3:3" ht="13" x14ac:dyDescent="0.3">
      <c r="C162" s="1"/>
    </row>
  </sheetData>
  <sheetProtection password="92CE" sheet="1"/>
  <phoneticPr fontId="0" type="noConversion"/>
  <pageMargins left="0.78740157499999996" right="0.36" top="0.74" bottom="0.984251969" header="0.4921259845" footer="0.4921259845"/>
  <pageSetup paperSize="9" scale="91" orientation="portrait" horizontalDpi="4294967292" r:id="rId1"/>
  <headerFooter alignWithMargins="0">
    <oddFooter>&amp;C&amp;"Arial,Fett"Teil I - Seite 7</oddFooter>
  </headerFooter>
  <drawing r:id="rId2"/>
  <legacyDrawing r:id="rId3"/>
  <controls>
    <mc:AlternateContent xmlns:mc="http://schemas.openxmlformats.org/markup-compatibility/2006">
      <mc:Choice Requires="x14">
        <control shapeId="11265" r:id="rId4" name="CommandButton1">
          <controlPr defaultSize="0" autoLine="0" r:id="rId5">
            <anchor moveWithCells="1">
              <from>
                <xdr:col>0</xdr:col>
                <xdr:colOff>12700</xdr:colOff>
                <xdr:row>56</xdr:row>
                <xdr:rowOff>6350</xdr:rowOff>
              </from>
              <to>
                <xdr:col>1</xdr:col>
                <xdr:colOff>1028700</xdr:colOff>
                <xdr:row>58</xdr:row>
                <xdr:rowOff>19050</xdr:rowOff>
              </to>
            </anchor>
          </controlPr>
        </control>
      </mc:Choice>
      <mc:Fallback>
        <control shapeId="11265" r:id="rId4" name="CommandButton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5">
    <pageSetUpPr fitToPage="1"/>
  </sheetPr>
  <dimension ref="B2:G219"/>
  <sheetViews>
    <sheetView showGridLines="0" zoomScaleNormal="100" workbookViewId="0">
      <selection activeCell="D31" sqref="D31"/>
    </sheetView>
  </sheetViews>
  <sheetFormatPr baseColWidth="10" defaultRowHeight="12.5" x14ac:dyDescent="0.25"/>
  <cols>
    <col min="1" max="1" width="3" customWidth="1"/>
    <col min="2" max="2" width="74.26953125" bestFit="1" customWidth="1"/>
    <col min="3" max="3" width="4.26953125" customWidth="1"/>
    <col min="4" max="4" width="16.7265625" customWidth="1"/>
    <col min="5" max="5" width="5.81640625" bestFit="1" customWidth="1"/>
    <col min="6" max="6" width="4.26953125" customWidth="1"/>
    <col min="7" max="7" width="23.453125" customWidth="1"/>
  </cols>
  <sheetData>
    <row r="2" spans="2:7" ht="14" x14ac:dyDescent="0.3">
      <c r="B2" s="139" t="s">
        <v>918</v>
      </c>
    </row>
    <row r="3" spans="2:7" ht="9" customHeight="1" x14ac:dyDescent="0.3">
      <c r="B3" s="1"/>
    </row>
    <row r="4" spans="2:7" ht="13" x14ac:dyDescent="0.3">
      <c r="B4" s="1" t="s">
        <v>1154</v>
      </c>
    </row>
    <row r="5" spans="2:7" ht="13" x14ac:dyDescent="0.3">
      <c r="B5" s="1"/>
      <c r="D5" s="138" t="str">
        <f>IF(_WAEH=2,"volle DM","volle EURO")</f>
        <v>volle EURO</v>
      </c>
    </row>
    <row r="6" spans="2:7" ht="15" customHeight="1" x14ac:dyDescent="0.25">
      <c r="B6" t="s">
        <v>791</v>
      </c>
      <c r="D6" s="62"/>
      <c r="E6" s="10" t="s">
        <v>420</v>
      </c>
      <c r="G6" s="319"/>
    </row>
    <row r="7" spans="2:7" x14ac:dyDescent="0.25">
      <c r="G7" s="7"/>
    </row>
    <row r="8" spans="2:7" ht="13" x14ac:dyDescent="0.3">
      <c r="B8" s="148" t="s">
        <v>792</v>
      </c>
      <c r="F8" s="127"/>
      <c r="G8" s="7"/>
    </row>
    <row r="9" spans="2:7" ht="13" x14ac:dyDescent="0.3">
      <c r="B9" s="148"/>
      <c r="F9" s="127"/>
      <c r="G9" s="7"/>
    </row>
    <row r="10" spans="2:7" ht="13" x14ac:dyDescent="0.3">
      <c r="B10" s="196" t="s">
        <v>630</v>
      </c>
      <c r="D10" s="138" t="str">
        <f>IF(_WAEH=2,"volle DM","volle EURO")</f>
        <v>volle EURO</v>
      </c>
      <c r="G10" s="7"/>
    </row>
    <row r="11" spans="2:7" ht="15" customHeight="1" x14ac:dyDescent="0.25">
      <c r="B11" s="147" t="s">
        <v>134</v>
      </c>
      <c r="D11" s="62"/>
      <c r="E11" s="10" t="s">
        <v>421</v>
      </c>
      <c r="G11" s="340"/>
    </row>
    <row r="12" spans="2:7" ht="15" customHeight="1" x14ac:dyDescent="0.25">
      <c r="B12" s="147" t="s">
        <v>135</v>
      </c>
      <c r="D12" s="62"/>
      <c r="E12" s="10" t="s">
        <v>422</v>
      </c>
      <c r="G12" s="340"/>
    </row>
    <row r="13" spans="2:7" ht="15" customHeight="1" x14ac:dyDescent="0.25">
      <c r="B13" s="147" t="s">
        <v>136</v>
      </c>
      <c r="D13" s="62"/>
      <c r="E13" s="10" t="s">
        <v>423</v>
      </c>
      <c r="G13" s="340"/>
    </row>
    <row r="14" spans="2:7" ht="15" customHeight="1" x14ac:dyDescent="0.25">
      <c r="B14" s="135" t="s">
        <v>137</v>
      </c>
      <c r="D14" s="62"/>
      <c r="E14" s="10" t="s">
        <v>424</v>
      </c>
      <c r="G14" s="340"/>
    </row>
    <row r="15" spans="2:7" ht="15" customHeight="1" x14ac:dyDescent="0.25">
      <c r="B15" s="135" t="s">
        <v>628</v>
      </c>
      <c r="D15" s="62"/>
      <c r="E15" s="10" t="s">
        <v>426</v>
      </c>
      <c r="G15" s="340"/>
    </row>
    <row r="16" spans="2:7" ht="8.25" customHeight="1" x14ac:dyDescent="0.25">
      <c r="G16" s="155"/>
    </row>
    <row r="17" spans="2:7" ht="15" hidden="1" customHeight="1" x14ac:dyDescent="0.25">
      <c r="B17" t="s">
        <v>1125</v>
      </c>
      <c r="D17" s="210"/>
      <c r="E17" s="10" t="s">
        <v>1111</v>
      </c>
      <c r="G17" s="155"/>
    </row>
    <row r="18" spans="2:7" hidden="1" x14ac:dyDescent="0.25">
      <c r="B18" s="7" t="s">
        <v>851</v>
      </c>
      <c r="D18" s="207"/>
      <c r="E18" s="10" t="s">
        <v>1112</v>
      </c>
      <c r="G18" s="155"/>
    </row>
    <row r="19" spans="2:7" hidden="1" x14ac:dyDescent="0.25">
      <c r="B19" s="7" t="s">
        <v>852</v>
      </c>
      <c r="D19" t="s">
        <v>966</v>
      </c>
      <c r="G19" s="155"/>
    </row>
    <row r="20" spans="2:7" hidden="1" x14ac:dyDescent="0.25">
      <c r="B20" s="7" t="s">
        <v>592</v>
      </c>
      <c r="D20" s="207"/>
      <c r="E20" s="10" t="s">
        <v>1114</v>
      </c>
      <c r="G20" s="155"/>
    </row>
    <row r="21" spans="2:7" hidden="1" x14ac:dyDescent="0.25">
      <c r="B21" s="7" t="s">
        <v>795</v>
      </c>
      <c r="D21" s="207"/>
      <c r="E21" s="10" t="s">
        <v>1117</v>
      </c>
      <c r="G21" s="155"/>
    </row>
    <row r="22" spans="2:7" hidden="1" x14ac:dyDescent="0.25">
      <c r="B22" s="7" t="s">
        <v>854</v>
      </c>
      <c r="D22" s="211"/>
      <c r="E22" s="10" t="s">
        <v>1118</v>
      </c>
      <c r="G22" s="155"/>
    </row>
    <row r="23" spans="2:7" ht="13" x14ac:dyDescent="0.3">
      <c r="B23" s="151" t="s">
        <v>178</v>
      </c>
      <c r="D23" s="138" t="str">
        <f>IF(_WAEH=2,"volle DM","volle EURO")</f>
        <v>volle EURO</v>
      </c>
      <c r="G23" s="155"/>
    </row>
    <row r="24" spans="2:7" ht="15" customHeight="1" x14ac:dyDescent="0.25">
      <c r="B24" s="38" t="s">
        <v>1873</v>
      </c>
      <c r="C24" s="7"/>
      <c r="D24" s="100"/>
      <c r="E24" s="50" t="s">
        <v>1113</v>
      </c>
      <c r="G24" s="340"/>
    </row>
    <row r="25" spans="2:7" ht="15" customHeight="1" x14ac:dyDescent="0.25">
      <c r="B25" s="156" t="s">
        <v>1872</v>
      </c>
      <c r="D25" s="62"/>
      <c r="E25" s="72" t="s">
        <v>425</v>
      </c>
      <c r="F25" s="127"/>
      <c r="G25" s="340"/>
    </row>
    <row r="26" spans="2:7" ht="13" thickBot="1" x14ac:dyDescent="0.3">
      <c r="B26" s="147" t="s">
        <v>180</v>
      </c>
      <c r="D26" s="62"/>
      <c r="E26" s="72" t="s">
        <v>181</v>
      </c>
      <c r="G26" s="340"/>
    </row>
    <row r="27" spans="2:7" ht="13.5" thickBot="1" x14ac:dyDescent="0.35">
      <c r="B27" s="148" t="s">
        <v>567</v>
      </c>
      <c r="D27" s="21" t="str">
        <f>IF(AND(ISBLANK(_BK01),ISBLANK(_HK01),ISBLANK(_IK01),ISBLANK(_EZ01),ISBLANK(_SA01),ISBLANK(_XX45),ISBLANK(_HA12),_PA01=""),"",_BK01+_HK01+_IK01+_EZ01+_SA01+_XX45+_PA01+_HA12)</f>
        <v/>
      </c>
      <c r="E27" s="11" t="s">
        <v>593</v>
      </c>
      <c r="G27" s="340"/>
    </row>
    <row r="28" spans="2:7" ht="13" hidden="1" x14ac:dyDescent="0.3">
      <c r="B28" s="131"/>
      <c r="D28" s="25"/>
      <c r="E28" s="1"/>
      <c r="G28" s="340"/>
    </row>
    <row r="29" spans="2:7" s="49" customFormat="1" ht="13" hidden="1" x14ac:dyDescent="0.3">
      <c r="B29" s="131" t="s">
        <v>21</v>
      </c>
      <c r="C29"/>
      <c r="D29" s="25"/>
      <c r="E29" s="1"/>
      <c r="G29" s="340"/>
    </row>
    <row r="30" spans="2:7" ht="13" hidden="1" x14ac:dyDescent="0.3">
      <c r="B30" s="49" t="s">
        <v>22</v>
      </c>
      <c r="C30" s="49"/>
      <c r="D30" s="54"/>
      <c r="E30" s="51" t="s">
        <v>23</v>
      </c>
      <c r="G30" s="340"/>
    </row>
    <row r="31" spans="2:7" ht="13" x14ac:dyDescent="0.3">
      <c r="B31" s="1"/>
      <c r="G31" s="155"/>
    </row>
    <row r="32" spans="2:7" ht="15" customHeight="1" x14ac:dyDescent="0.25">
      <c r="B32" s="7"/>
      <c r="D32" s="138" t="str">
        <f>IF(_WAEH=2,"volle DM","volle EURO")</f>
        <v>volle EURO</v>
      </c>
      <c r="G32" s="155"/>
    </row>
    <row r="33" spans="2:7" ht="22.5" customHeight="1" x14ac:dyDescent="0.3">
      <c r="B33" s="39" t="s">
        <v>167</v>
      </c>
      <c r="C33" s="1"/>
      <c r="D33" s="71"/>
      <c r="E33" s="40" t="s">
        <v>38</v>
      </c>
      <c r="G33" s="340"/>
    </row>
    <row r="34" spans="2:7" ht="12.75" customHeight="1" x14ac:dyDescent="0.3">
      <c r="B34" s="155" t="s">
        <v>629</v>
      </c>
      <c r="C34" s="1"/>
      <c r="E34" s="1"/>
      <c r="G34" s="155"/>
    </row>
    <row r="35" spans="2:7" ht="15" customHeight="1" x14ac:dyDescent="0.3">
      <c r="B35" s="38" t="s">
        <v>1169</v>
      </c>
      <c r="C35" s="1"/>
      <c r="D35" s="138" t="str">
        <f>IF(_WAEH=2,"volle DM","volle EURO")</f>
        <v>volle EURO</v>
      </c>
      <c r="G35" s="155"/>
    </row>
    <row r="36" spans="2:7" ht="14.25" customHeight="1" x14ac:dyDescent="0.3">
      <c r="B36" s="1" t="s">
        <v>1155</v>
      </c>
      <c r="C36" s="1"/>
      <c r="D36" s="71"/>
      <c r="E36" s="40" t="s">
        <v>39</v>
      </c>
      <c r="G36" s="340"/>
    </row>
    <row r="37" spans="2:7" ht="15" customHeight="1" x14ac:dyDescent="0.3">
      <c r="B37" s="1"/>
      <c r="C37" s="1"/>
      <c r="G37" s="155"/>
    </row>
    <row r="38" spans="2:7" ht="15" customHeight="1" x14ac:dyDescent="0.3">
      <c r="B38" s="1" t="s">
        <v>1170</v>
      </c>
      <c r="D38" s="138" t="str">
        <f>IF(_WAEH=2,"volle DM","volle EURO")</f>
        <v>volle EURO</v>
      </c>
      <c r="G38" s="155"/>
    </row>
    <row r="39" spans="2:7" ht="13" x14ac:dyDescent="0.3">
      <c r="B39" s="32" t="s">
        <v>626</v>
      </c>
      <c r="D39" s="71"/>
      <c r="E39" s="40" t="s">
        <v>430</v>
      </c>
      <c r="G39" s="340"/>
    </row>
    <row r="40" spans="2:7" ht="13" x14ac:dyDescent="0.3">
      <c r="B40" s="1"/>
      <c r="G40" s="155"/>
    </row>
    <row r="41" spans="2:7" ht="13" x14ac:dyDescent="0.3">
      <c r="B41" s="1" t="s">
        <v>140</v>
      </c>
      <c r="D41" s="1"/>
      <c r="E41" s="1"/>
      <c r="G41" s="155"/>
    </row>
    <row r="42" spans="2:7" ht="15" customHeight="1" x14ac:dyDescent="0.3">
      <c r="B42" s="1"/>
      <c r="D42" s="138" t="str">
        <f>IF(_WAEH=2,"volle DM","volle EURO")</f>
        <v>volle EURO</v>
      </c>
      <c r="G42" s="155"/>
    </row>
    <row r="43" spans="2:7" ht="17.25" customHeight="1" x14ac:dyDescent="0.25">
      <c r="B43" s="7" t="s">
        <v>791</v>
      </c>
      <c r="D43" s="62"/>
      <c r="E43" s="10" t="s">
        <v>439</v>
      </c>
      <c r="G43" s="340"/>
    </row>
    <row r="44" spans="2:7" x14ac:dyDescent="0.25">
      <c r="G44" s="155"/>
    </row>
    <row r="45" spans="2:7" ht="13" x14ac:dyDescent="0.3">
      <c r="B45" s="148" t="s">
        <v>792</v>
      </c>
      <c r="G45" s="155"/>
    </row>
    <row r="46" spans="2:7" ht="15" customHeight="1" x14ac:dyDescent="0.25">
      <c r="B46" s="156"/>
      <c r="D46" s="138" t="str">
        <f>IF(_WAEH=2,"volle DM","volle EURO")</f>
        <v>volle EURO</v>
      </c>
      <c r="G46" s="155"/>
    </row>
    <row r="47" spans="2:7" ht="15" customHeight="1" x14ac:dyDescent="0.25">
      <c r="B47" s="135" t="s">
        <v>138</v>
      </c>
      <c r="D47" s="62"/>
      <c r="E47" s="10" t="s">
        <v>440</v>
      </c>
      <c r="G47" s="340"/>
    </row>
    <row r="48" spans="2:7" ht="15" customHeight="1" thickBot="1" x14ac:dyDescent="0.3">
      <c r="B48" s="135" t="s">
        <v>139</v>
      </c>
      <c r="D48" s="62"/>
      <c r="E48" s="10" t="s">
        <v>441</v>
      </c>
      <c r="G48" s="340"/>
    </row>
    <row r="49" spans="2:7" ht="15.75" customHeight="1" thickBot="1" x14ac:dyDescent="0.35">
      <c r="B49" s="148" t="s">
        <v>567</v>
      </c>
      <c r="D49" s="21" t="str">
        <f>IF(AND(ISBLANK(_AI01),ISBLANK(_AS01)),"",_AI01+_AS01)</f>
        <v/>
      </c>
      <c r="E49" s="11" t="s">
        <v>598</v>
      </c>
      <c r="G49" s="155"/>
    </row>
    <row r="50" spans="2:7" ht="13" hidden="1" x14ac:dyDescent="0.3">
      <c r="B50" s="7" t="s">
        <v>51</v>
      </c>
      <c r="D50" s="1"/>
      <c r="E50" s="1"/>
      <c r="G50" s="155"/>
    </row>
    <row r="51" spans="2:7" hidden="1" x14ac:dyDescent="0.25">
      <c r="G51" s="155"/>
    </row>
    <row r="52" spans="2:7" hidden="1" x14ac:dyDescent="0.25">
      <c r="B52" t="s">
        <v>843</v>
      </c>
      <c r="D52" t="str">
        <f>IF(_WAEH=2,"volle DM","volle EURO")</f>
        <v>volle EURO</v>
      </c>
      <c r="G52" s="155"/>
    </row>
    <row r="53" spans="2:7" ht="16.5" hidden="1" customHeight="1" x14ac:dyDescent="0.25">
      <c r="B53" t="s">
        <v>798</v>
      </c>
      <c r="D53" s="19"/>
      <c r="E53" s="10" t="s">
        <v>442</v>
      </c>
      <c r="G53" s="155"/>
    </row>
    <row r="54" spans="2:7" ht="15" customHeight="1" x14ac:dyDescent="0.25">
      <c r="B54" s="9" t="s">
        <v>772</v>
      </c>
      <c r="D54" s="138" t="str">
        <f>IF(_WAEH=2,"volle DM","volle EURO")</f>
        <v>volle EURO</v>
      </c>
      <c r="G54" s="155"/>
    </row>
    <row r="55" spans="2:7" ht="15.75" customHeight="1" x14ac:dyDescent="0.3">
      <c r="B55" s="147" t="s">
        <v>773</v>
      </c>
      <c r="D55" s="62"/>
      <c r="E55" s="10" t="s">
        <v>443</v>
      </c>
      <c r="F55" s="320" t="s">
        <v>502</v>
      </c>
      <c r="G55" s="340"/>
    </row>
    <row r="56" spans="2:7" ht="11.25" customHeight="1" x14ac:dyDescent="0.25">
      <c r="F56" s="7"/>
      <c r="G56" s="321" t="s">
        <v>503</v>
      </c>
    </row>
    <row r="57" spans="2:7" ht="17.25" customHeight="1" x14ac:dyDescent="0.3">
      <c r="B57" s="147" t="s">
        <v>774</v>
      </c>
      <c r="C57" s="1"/>
      <c r="D57" s="62"/>
      <c r="E57" s="52" t="s">
        <v>355</v>
      </c>
      <c r="F57" s="7"/>
      <c r="G57" s="340"/>
    </row>
    <row r="58" spans="2:7" ht="17.25" hidden="1" customHeight="1" x14ac:dyDescent="0.3">
      <c r="B58" s="7" t="s">
        <v>52</v>
      </c>
      <c r="C58" s="1"/>
      <c r="D58" s="26"/>
      <c r="E58" s="7"/>
      <c r="F58" s="7"/>
      <c r="G58" s="7"/>
    </row>
    <row r="59" spans="2:7" ht="17.25" hidden="1" customHeight="1" x14ac:dyDescent="0.3">
      <c r="B59" s="7" t="s">
        <v>53</v>
      </c>
      <c r="C59" s="1"/>
      <c r="G59" s="7"/>
    </row>
    <row r="60" spans="2:7" ht="3.75" customHeight="1" x14ac:dyDescent="0.3">
      <c r="B60" s="34"/>
      <c r="C60" s="35"/>
      <c r="D60" s="37"/>
      <c r="E60" s="34"/>
      <c r="F60" s="7"/>
      <c r="G60" s="7"/>
    </row>
    <row r="61" spans="2:7" ht="15.75" customHeight="1" x14ac:dyDescent="0.3">
      <c r="B61" s="147" t="s">
        <v>775</v>
      </c>
      <c r="C61" s="1"/>
      <c r="D61" s="62"/>
      <c r="E61" s="52" t="s">
        <v>24</v>
      </c>
      <c r="G61" s="340"/>
    </row>
    <row r="62" spans="2:7" ht="8.25" customHeight="1" x14ac:dyDescent="0.3">
      <c r="B62" s="49"/>
      <c r="C62" s="53"/>
      <c r="D62" s="212"/>
      <c r="E62" s="49"/>
      <c r="G62" s="7"/>
    </row>
    <row r="63" spans="2:7" ht="8.25" customHeight="1" x14ac:dyDescent="0.3">
      <c r="B63" s="34"/>
      <c r="C63" s="35"/>
      <c r="D63" s="37"/>
      <c r="E63" s="34"/>
      <c r="G63" s="7"/>
    </row>
    <row r="64" spans="2:7" ht="15" customHeight="1" thickBot="1" x14ac:dyDescent="0.35">
      <c r="B64" s="1" t="s">
        <v>1156</v>
      </c>
      <c r="C64" s="1"/>
      <c r="D64" s="138" t="str">
        <f>IF(_WAEH=2,"volle DM","volle EURO")</f>
        <v>volle EURO</v>
      </c>
      <c r="G64" s="7"/>
    </row>
    <row r="65" spans="2:7" ht="14.25" customHeight="1" thickBot="1" x14ac:dyDescent="0.35">
      <c r="B65" s="1" t="s">
        <v>1126</v>
      </c>
      <c r="C65" s="1"/>
      <c r="D65" s="216"/>
      <c r="E65" s="11" t="s">
        <v>45</v>
      </c>
      <c r="G65" s="358"/>
    </row>
    <row r="66" spans="2:7" ht="3.75" customHeight="1" thickBot="1" x14ac:dyDescent="0.35">
      <c r="B66" s="1"/>
      <c r="C66" s="1"/>
      <c r="D66" s="26"/>
      <c r="G66" s="7"/>
    </row>
    <row r="67" spans="2:7" ht="14.25" customHeight="1" thickBot="1" x14ac:dyDescent="0.35">
      <c r="B67" s="1" t="s">
        <v>1127</v>
      </c>
      <c r="C67" s="1"/>
      <c r="D67" s="216"/>
      <c r="E67" s="11" t="s">
        <v>444</v>
      </c>
      <c r="G67" s="358"/>
    </row>
    <row r="68" spans="2:7" ht="13" x14ac:dyDescent="0.3">
      <c r="B68" s="12"/>
      <c r="C68" s="1"/>
      <c r="D68" s="26"/>
      <c r="G68" s="7"/>
    </row>
    <row r="69" spans="2:7" ht="13" x14ac:dyDescent="0.3">
      <c r="B69" s="1" t="s">
        <v>1157</v>
      </c>
      <c r="G69" s="7"/>
    </row>
    <row r="70" spans="2:7" ht="15" customHeight="1" x14ac:dyDescent="0.3">
      <c r="B70" s="7"/>
      <c r="C70" s="1"/>
      <c r="D70" s="138" t="str">
        <f>IF(_WAEH=2,"volle DM","volle EURO")</f>
        <v>volle EURO</v>
      </c>
      <c r="G70" s="7"/>
    </row>
    <row r="71" spans="2:7" ht="14.25" customHeight="1" x14ac:dyDescent="0.25">
      <c r="B71" t="s">
        <v>791</v>
      </c>
      <c r="D71" s="62"/>
      <c r="E71" s="10" t="s">
        <v>445</v>
      </c>
      <c r="G71" s="358"/>
    </row>
    <row r="72" spans="2:7" x14ac:dyDescent="0.25">
      <c r="G72" s="7"/>
    </row>
    <row r="73" spans="2:7" ht="12.75" customHeight="1" x14ac:dyDescent="0.3">
      <c r="B73" s="1" t="s">
        <v>792</v>
      </c>
      <c r="G73" s="7"/>
    </row>
    <row r="74" spans="2:7" ht="6" customHeight="1" x14ac:dyDescent="0.25">
      <c r="G74" s="7"/>
    </row>
    <row r="75" spans="2:7" ht="15" customHeight="1" x14ac:dyDescent="0.25">
      <c r="B75" s="131" t="s">
        <v>865</v>
      </c>
      <c r="D75" s="138" t="str">
        <f>IF(_WAEH=2,"volle DM","volle EURO")</f>
        <v>volle EURO</v>
      </c>
      <c r="F75" s="127"/>
      <c r="G75" s="7"/>
    </row>
    <row r="76" spans="2:7" ht="15" customHeight="1" x14ac:dyDescent="0.25">
      <c r="B76" s="156" t="s">
        <v>182</v>
      </c>
      <c r="D76" s="62"/>
      <c r="E76" s="10" t="s">
        <v>446</v>
      </c>
      <c r="G76" s="358"/>
    </row>
    <row r="77" spans="2:7" ht="15" customHeight="1" x14ac:dyDescent="0.25">
      <c r="B77" s="147" t="s">
        <v>472</v>
      </c>
      <c r="D77" s="62"/>
      <c r="E77" s="10" t="s">
        <v>1119</v>
      </c>
      <c r="G77" s="358"/>
    </row>
    <row r="78" spans="2:7" ht="15" customHeight="1" x14ac:dyDescent="0.25">
      <c r="B78" s="132" t="s">
        <v>1312</v>
      </c>
      <c r="D78" s="62"/>
      <c r="E78" s="52" t="s">
        <v>1311</v>
      </c>
      <c r="G78" s="358"/>
    </row>
    <row r="79" spans="2:7" ht="15" customHeight="1" x14ac:dyDescent="0.25">
      <c r="B79" s="131" t="s">
        <v>599</v>
      </c>
      <c r="D79" s="62"/>
      <c r="E79" s="10" t="s">
        <v>601</v>
      </c>
      <c r="G79" s="358"/>
    </row>
    <row r="80" spans="2:7" ht="15" customHeight="1" x14ac:dyDescent="0.25">
      <c r="B80" s="131" t="s">
        <v>25</v>
      </c>
      <c r="D80" s="62"/>
      <c r="E80" s="10" t="s">
        <v>26</v>
      </c>
      <c r="G80" s="358"/>
    </row>
    <row r="81" spans="2:7" ht="15" customHeight="1" x14ac:dyDescent="0.25">
      <c r="B81" s="131" t="s">
        <v>782</v>
      </c>
      <c r="D81" s="62"/>
      <c r="E81" s="10" t="s">
        <v>781</v>
      </c>
      <c r="G81" s="358"/>
    </row>
    <row r="82" spans="2:7" ht="15" customHeight="1" thickBot="1" x14ac:dyDescent="0.3">
      <c r="B82" s="131" t="s">
        <v>600</v>
      </c>
      <c r="D82" s="62"/>
      <c r="E82" s="10" t="s">
        <v>602</v>
      </c>
      <c r="G82" s="358"/>
    </row>
    <row r="83" spans="2:7" ht="15.75" customHeight="1" thickBot="1" x14ac:dyDescent="0.35">
      <c r="B83" s="1" t="s">
        <v>567</v>
      </c>
      <c r="D83" s="21">
        <f>SUM(D76:D82)</f>
        <v>0</v>
      </c>
      <c r="E83" s="11" t="s">
        <v>603</v>
      </c>
      <c r="G83" s="7"/>
    </row>
    <row r="84" spans="2:7" ht="13" x14ac:dyDescent="0.3">
      <c r="D84" s="1"/>
      <c r="E84" s="1"/>
      <c r="G84" s="7"/>
    </row>
    <row r="85" spans="2:7" ht="12.75" customHeight="1" x14ac:dyDescent="0.3">
      <c r="B85" s="1" t="s">
        <v>1158</v>
      </c>
      <c r="G85" s="7"/>
    </row>
    <row r="86" spans="2:7" ht="69" customHeight="1" x14ac:dyDescent="0.25">
      <c r="B86" s="155" t="s">
        <v>1297</v>
      </c>
      <c r="D86" s="138" t="str">
        <f>IF(_WAEH=2,"volle DM","volle EURO")</f>
        <v>volle EURO</v>
      </c>
      <c r="G86" s="7"/>
    </row>
    <row r="87" spans="2:7" ht="15" customHeight="1" x14ac:dyDescent="0.3">
      <c r="B87" s="167" t="s">
        <v>1132</v>
      </c>
      <c r="D87" s="62"/>
      <c r="E87" s="10" t="s">
        <v>1108</v>
      </c>
      <c r="G87" s="319" t="s">
        <v>1790</v>
      </c>
    </row>
    <row r="89" spans="2:7" x14ac:dyDescent="0.25">
      <c r="D89" s="26"/>
    </row>
    <row r="92" spans="2:7" ht="13" x14ac:dyDescent="0.3">
      <c r="B92" s="1"/>
    </row>
    <row r="93" spans="2:7" x14ac:dyDescent="0.25">
      <c r="B93" s="7"/>
    </row>
    <row r="95" spans="2:7" x14ac:dyDescent="0.25">
      <c r="B95" s="7"/>
    </row>
    <row r="97" spans="2:2" x14ac:dyDescent="0.25">
      <c r="B97" s="7"/>
    </row>
    <row r="99" spans="2:2" x14ac:dyDescent="0.25">
      <c r="B99" s="9"/>
    </row>
    <row r="105" spans="2:2" ht="13" x14ac:dyDescent="0.3">
      <c r="B105" s="1"/>
    </row>
    <row r="107" spans="2:2" ht="13" x14ac:dyDescent="0.3">
      <c r="B107" s="12"/>
    </row>
    <row r="111" spans="2:2" ht="13" x14ac:dyDescent="0.3">
      <c r="B111" s="12"/>
    </row>
    <row r="115" spans="2:2" ht="13" x14ac:dyDescent="0.3">
      <c r="B115" s="12"/>
    </row>
    <row r="120" spans="2:2" x14ac:dyDescent="0.25">
      <c r="B120" s="9"/>
    </row>
    <row r="122" spans="2:2" x14ac:dyDescent="0.25">
      <c r="B122" s="7"/>
    </row>
    <row r="127" spans="2:2" ht="13" x14ac:dyDescent="0.3">
      <c r="B127" s="1"/>
    </row>
    <row r="129" spans="2:2" x14ac:dyDescent="0.25">
      <c r="B129" s="9"/>
    </row>
    <row r="130" spans="2:2" ht="13" x14ac:dyDescent="0.3">
      <c r="B130" s="12"/>
    </row>
    <row r="134" spans="2:2" x14ac:dyDescent="0.25">
      <c r="B134" s="9"/>
    </row>
    <row r="137" spans="2:2" ht="13" x14ac:dyDescent="0.3">
      <c r="B137" s="12"/>
    </row>
    <row r="140" spans="2:2" ht="13" x14ac:dyDescent="0.3">
      <c r="B140" s="12"/>
    </row>
    <row r="155" spans="2:2" ht="13" x14ac:dyDescent="0.3">
      <c r="B155" s="12"/>
    </row>
    <row r="160" spans="2:2" ht="13" x14ac:dyDescent="0.3">
      <c r="B160" s="1"/>
    </row>
    <row r="161" spans="2:2" ht="13" x14ac:dyDescent="0.3">
      <c r="B161" s="1"/>
    </row>
    <row r="169" spans="2:2" x14ac:dyDescent="0.25">
      <c r="B169" s="13"/>
    </row>
    <row r="170" spans="2:2" x14ac:dyDescent="0.25">
      <c r="B170" s="13"/>
    </row>
    <row r="171" spans="2:2" x14ac:dyDescent="0.25">
      <c r="B171" s="7"/>
    </row>
    <row r="172" spans="2:2" x14ac:dyDescent="0.25">
      <c r="B172" s="7"/>
    </row>
    <row r="173" spans="2:2" x14ac:dyDescent="0.25">
      <c r="B173" s="7"/>
    </row>
    <row r="174" spans="2:2" x14ac:dyDescent="0.25">
      <c r="B174" s="9"/>
    </row>
    <row r="177" spans="2:3" x14ac:dyDescent="0.25">
      <c r="B177" s="9"/>
    </row>
    <row r="180" spans="2:3" ht="13" x14ac:dyDescent="0.3">
      <c r="B180" s="12"/>
    </row>
    <row r="187" spans="2:3" ht="13" x14ac:dyDescent="0.3">
      <c r="B187" s="12"/>
    </row>
    <row r="189" spans="2:3" ht="13" x14ac:dyDescent="0.3">
      <c r="C189" s="1"/>
    </row>
    <row r="190" spans="2:3" ht="13" x14ac:dyDescent="0.3">
      <c r="C190" s="1"/>
    </row>
    <row r="191" spans="2:3" ht="13" x14ac:dyDescent="0.3">
      <c r="C191" s="1"/>
    </row>
    <row r="192" spans="2:3" ht="13" x14ac:dyDescent="0.3">
      <c r="C192" s="1"/>
    </row>
    <row r="193" spans="2:6" ht="13" x14ac:dyDescent="0.3">
      <c r="C193" s="1"/>
    </row>
    <row r="194" spans="2:6" ht="13" x14ac:dyDescent="0.3">
      <c r="C194" s="1"/>
    </row>
    <row r="195" spans="2:6" ht="13" x14ac:dyDescent="0.3">
      <c r="C195" s="1"/>
    </row>
    <row r="196" spans="2:6" ht="13" x14ac:dyDescent="0.3">
      <c r="C196" s="1"/>
    </row>
    <row r="197" spans="2:6" ht="13" x14ac:dyDescent="0.3">
      <c r="C197" s="1"/>
    </row>
    <row r="198" spans="2:6" ht="13" x14ac:dyDescent="0.3">
      <c r="C198" s="1"/>
    </row>
    <row r="199" spans="2:6" ht="13" x14ac:dyDescent="0.3">
      <c r="C199" s="1"/>
    </row>
    <row r="200" spans="2:6" ht="13" x14ac:dyDescent="0.3">
      <c r="C200" s="1"/>
    </row>
    <row r="201" spans="2:6" ht="13" x14ac:dyDescent="0.3">
      <c r="C201" s="1"/>
    </row>
    <row r="202" spans="2:6" ht="13" x14ac:dyDescent="0.3">
      <c r="C202" s="1"/>
    </row>
    <row r="203" spans="2:6" ht="13" x14ac:dyDescent="0.3">
      <c r="C203" s="1"/>
      <c r="F203" s="1"/>
    </row>
    <row r="204" spans="2:6" ht="13" x14ac:dyDescent="0.3">
      <c r="C204" s="1"/>
      <c r="F204" s="1"/>
    </row>
    <row r="205" spans="2:6" ht="13" x14ac:dyDescent="0.3">
      <c r="B205" s="7"/>
      <c r="C205" s="1"/>
      <c r="F205" s="1"/>
    </row>
    <row r="206" spans="2:6" ht="13" x14ac:dyDescent="0.3">
      <c r="B206" s="8"/>
      <c r="C206" s="1"/>
      <c r="D206" s="1"/>
      <c r="E206" s="1"/>
      <c r="F206" s="1"/>
    </row>
    <row r="207" spans="2:6" ht="13" x14ac:dyDescent="0.3">
      <c r="B207" s="7"/>
      <c r="C207" s="1"/>
      <c r="D207" s="1"/>
      <c r="E207" s="1"/>
      <c r="F207" s="1"/>
    </row>
    <row r="208" spans="2:6" ht="13" x14ac:dyDescent="0.3">
      <c r="B208" s="7"/>
      <c r="C208" s="1"/>
      <c r="D208" s="1"/>
      <c r="E208" s="1"/>
      <c r="F208" s="1"/>
    </row>
    <row r="209" spans="2:6" ht="13" x14ac:dyDescent="0.3">
      <c r="C209" s="1"/>
      <c r="D209" s="1"/>
      <c r="E209" s="1"/>
      <c r="F209" s="1"/>
    </row>
    <row r="210" spans="2:6" ht="13" x14ac:dyDescent="0.3">
      <c r="C210" s="1"/>
      <c r="D210" s="1"/>
      <c r="E210" s="1"/>
      <c r="F210" s="1"/>
    </row>
    <row r="211" spans="2:6" ht="13" x14ac:dyDescent="0.3">
      <c r="C211" s="1"/>
      <c r="D211" s="1"/>
      <c r="E211" s="1"/>
      <c r="F211" s="1"/>
    </row>
    <row r="212" spans="2:6" ht="13" x14ac:dyDescent="0.3">
      <c r="D212" s="1"/>
      <c r="E212" s="1"/>
      <c r="F212" s="1"/>
    </row>
    <row r="213" spans="2:6" ht="13" x14ac:dyDescent="0.3">
      <c r="B213" s="8"/>
      <c r="C213" s="1"/>
      <c r="D213" s="1"/>
      <c r="E213" s="1"/>
      <c r="F213" s="1"/>
    </row>
    <row r="214" spans="2:6" ht="13" x14ac:dyDescent="0.3">
      <c r="D214" s="1"/>
      <c r="E214" s="1"/>
      <c r="F214" s="1"/>
    </row>
    <row r="215" spans="2:6" ht="13" x14ac:dyDescent="0.3">
      <c r="D215" s="1"/>
      <c r="E215" s="1"/>
      <c r="F215" s="1"/>
    </row>
    <row r="216" spans="2:6" ht="13" x14ac:dyDescent="0.3">
      <c r="D216" s="1"/>
      <c r="E216" s="1"/>
      <c r="F216" s="1"/>
    </row>
    <row r="217" spans="2:6" ht="13" x14ac:dyDescent="0.3">
      <c r="D217" s="1"/>
      <c r="E217" s="1"/>
      <c r="F217" s="1"/>
    </row>
    <row r="218" spans="2:6" ht="13" x14ac:dyDescent="0.3">
      <c r="D218" s="1"/>
      <c r="E218" s="1"/>
      <c r="F218" s="1"/>
    </row>
    <row r="219" spans="2:6" ht="13" x14ac:dyDescent="0.3">
      <c r="D219" s="1"/>
      <c r="E219" s="1"/>
    </row>
  </sheetData>
  <sheetProtection password="92CE" sheet="1"/>
  <phoneticPr fontId="0" type="noConversion"/>
  <dataValidations count="3">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55" xr:uid="{00000000-0002-0000-0700-000000000000}">
      <formula1>0</formula1>
      <formula2>D49</formula2>
    </dataValidation>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60:D63 D65:D66 D58" xr:uid="{00000000-0002-0000-0700-000001000000}">
      <formula1>0</formula1>
      <formula2>D56</formula2>
    </dataValidation>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57" xr:uid="{00000000-0002-0000-0700-000002000000}">
      <formula1>0</formula1>
      <formula2>D48</formula2>
    </dataValidation>
  </dataValidations>
  <pageMargins left="0.78740157499999996" right="0.22" top="0.45" bottom="0.55000000000000004" header="0.33" footer="0.19"/>
  <pageSetup paperSize="9" scale="80" orientation="portrait" horizontalDpi="4294967292" verticalDpi="300" r:id="rId1"/>
  <headerFooter alignWithMargins="0">
    <oddFooter>&amp;C&amp;"Arial,Fett"Teil I - Seite 8</oddFooter>
  </headerFooter>
  <drawing r:id="rId2"/>
  <legacyDrawing r:id="rId3"/>
  <controls>
    <mc:AlternateContent xmlns:mc="http://schemas.openxmlformats.org/markup-compatibility/2006">
      <mc:Choice Requires="x14">
        <control shapeId="12289" r:id="rId4" name="CommandButton1">
          <controlPr defaultSize="0" autoLine="0" r:id="rId5">
            <anchor moveWithCells="1">
              <from>
                <xdr:col>0</xdr:col>
                <xdr:colOff>19050</xdr:colOff>
                <xdr:row>86</xdr:row>
                <xdr:rowOff>120650</xdr:rowOff>
              </from>
              <to>
                <xdr:col>1</xdr:col>
                <xdr:colOff>952500</xdr:colOff>
                <xdr:row>88</xdr:row>
                <xdr:rowOff>107950</xdr:rowOff>
              </to>
            </anchor>
          </controlPr>
        </control>
      </mc:Choice>
      <mc:Fallback>
        <control shapeId="12289" r:id="rId4" name="CommandButton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7">
    <pageSetUpPr fitToPage="1"/>
  </sheetPr>
  <dimension ref="B2:G103"/>
  <sheetViews>
    <sheetView showGridLines="0" zoomScaleNormal="100" workbookViewId="0">
      <selection activeCell="D10" sqref="D10"/>
    </sheetView>
  </sheetViews>
  <sheetFormatPr baseColWidth="10" defaultRowHeight="12.5" x14ac:dyDescent="0.25"/>
  <cols>
    <col min="1" max="1" width="4.1796875" customWidth="1"/>
    <col min="2" max="2" width="65.81640625" customWidth="1"/>
    <col min="3" max="3" width="4.26953125" customWidth="1"/>
    <col min="4" max="4" width="16.7265625" customWidth="1"/>
    <col min="5" max="5" width="6.7265625" customWidth="1"/>
    <col min="6" max="6" width="10.7265625" customWidth="1"/>
    <col min="7" max="7" width="24" customWidth="1"/>
  </cols>
  <sheetData>
    <row r="2" spans="2:7" x14ac:dyDescent="0.25">
      <c r="D2" s="138" t="str">
        <f>IF(_WAEH=2,"volle DM","volle EURO")</f>
        <v>volle EURO</v>
      </c>
    </row>
    <row r="3" spans="2:7" ht="15" customHeight="1" x14ac:dyDescent="0.3">
      <c r="B3" s="1" t="s">
        <v>1159</v>
      </c>
      <c r="D3" s="62"/>
      <c r="E3" s="10" t="s">
        <v>447</v>
      </c>
      <c r="F3" s="220" t="s">
        <v>637</v>
      </c>
      <c r="G3" s="340"/>
    </row>
    <row r="4" spans="2:7" ht="8.25" customHeight="1" x14ac:dyDescent="0.25">
      <c r="G4" s="155"/>
    </row>
    <row r="5" spans="2:7" ht="13" x14ac:dyDescent="0.3">
      <c r="B5" s="148" t="s">
        <v>792</v>
      </c>
      <c r="G5" s="155"/>
    </row>
    <row r="6" spans="2:7" ht="8.25" customHeight="1" x14ac:dyDescent="0.25">
      <c r="G6" s="155"/>
    </row>
    <row r="7" spans="2:7" x14ac:dyDescent="0.25">
      <c r="B7" s="147" t="s">
        <v>141</v>
      </c>
      <c r="D7" s="138" t="str">
        <f>IF(_WAEH=2,"volle DM","volle EURO")</f>
        <v>volle EURO</v>
      </c>
      <c r="G7" s="155"/>
    </row>
    <row r="8" spans="2:7" ht="15" customHeight="1" x14ac:dyDescent="0.25">
      <c r="B8" s="147" t="s">
        <v>1313</v>
      </c>
      <c r="D8" s="62"/>
      <c r="E8" s="10" t="s">
        <v>448</v>
      </c>
      <c r="G8" s="340"/>
    </row>
    <row r="9" spans="2:7" ht="15" customHeight="1" x14ac:dyDescent="0.25">
      <c r="B9" s="147" t="s">
        <v>142</v>
      </c>
      <c r="D9" s="62"/>
      <c r="E9" s="10" t="s">
        <v>449</v>
      </c>
      <c r="G9" s="340"/>
    </row>
    <row r="10" spans="2:7" ht="15" customHeight="1" x14ac:dyDescent="0.25">
      <c r="B10" s="135" t="s">
        <v>143</v>
      </c>
      <c r="D10" s="62"/>
      <c r="E10" s="10" t="s">
        <v>450</v>
      </c>
      <c r="G10" s="340"/>
    </row>
    <row r="11" spans="2:7" ht="15" customHeight="1" x14ac:dyDescent="0.25">
      <c r="B11" s="135" t="s">
        <v>144</v>
      </c>
      <c r="D11" s="62"/>
      <c r="E11" s="10" t="s">
        <v>451</v>
      </c>
      <c r="G11" s="340"/>
    </row>
    <row r="12" spans="2:7" ht="15" customHeight="1" x14ac:dyDescent="0.25">
      <c r="B12" s="135" t="s">
        <v>145</v>
      </c>
      <c r="D12" s="62"/>
      <c r="E12" s="10" t="s">
        <v>452</v>
      </c>
      <c r="G12" s="340"/>
    </row>
    <row r="13" spans="2:7" ht="15" customHeight="1" thickBot="1" x14ac:dyDescent="0.3">
      <c r="B13" s="135" t="s">
        <v>1786</v>
      </c>
      <c r="D13" s="62"/>
      <c r="E13" s="10" t="s">
        <v>1787</v>
      </c>
      <c r="G13" s="340"/>
    </row>
    <row r="14" spans="2:7" ht="15" customHeight="1" thickBot="1" x14ac:dyDescent="0.35">
      <c r="B14" s="148" t="s">
        <v>567</v>
      </c>
      <c r="D14" s="21" t="str">
        <f>IF(AND(ISBLANK(_ZA01),ISBLANK(_ZA02),ISBLANK(_ZA03),ISBLANK(_ZA04),ISBLANK(_ZA05),ISBLANK(_ZA06)),"",_ZA01+_ZA02+_ZA03+_ZA04+_ZA05+_ZA06)</f>
        <v/>
      </c>
      <c r="E14" s="11" t="s">
        <v>604</v>
      </c>
      <c r="G14" s="155"/>
    </row>
    <row r="15" spans="2:7" ht="13" x14ac:dyDescent="0.3">
      <c r="B15" s="1"/>
      <c r="D15" s="25"/>
      <c r="E15" s="1"/>
      <c r="G15" s="155"/>
    </row>
    <row r="16" spans="2:7" ht="12.75" customHeight="1" x14ac:dyDescent="0.25">
      <c r="D16" s="138" t="str">
        <f>IF(_WAEH=2,"volle DM","volle EURO")</f>
        <v>volle EURO</v>
      </c>
      <c r="G16" s="155"/>
    </row>
    <row r="17" spans="2:7" ht="15" customHeight="1" x14ac:dyDescent="0.3">
      <c r="B17" s="134" t="s">
        <v>1143</v>
      </c>
      <c r="D17" s="62"/>
      <c r="E17" s="10" t="s">
        <v>453</v>
      </c>
      <c r="F17" s="320" t="s">
        <v>502</v>
      </c>
      <c r="G17" s="340" t="s">
        <v>1791</v>
      </c>
    </row>
    <row r="18" spans="2:7" ht="10" customHeight="1" x14ac:dyDescent="0.25">
      <c r="G18" s="321" t="s">
        <v>503</v>
      </c>
    </row>
    <row r="19" spans="2:7" ht="13" x14ac:dyDescent="0.3">
      <c r="B19" s="7"/>
      <c r="C19" s="1"/>
      <c r="D19" s="138" t="str">
        <f>IF(_WAEH=2,"volle DM","volle EURO")</f>
        <v>volle EURO</v>
      </c>
      <c r="G19" s="7"/>
    </row>
    <row r="20" spans="2:7" ht="15" customHeight="1" x14ac:dyDescent="0.3">
      <c r="B20" s="1" t="s">
        <v>1128</v>
      </c>
      <c r="C20" s="1"/>
      <c r="D20" s="71"/>
      <c r="E20" s="42" t="s">
        <v>40</v>
      </c>
      <c r="G20" s="340"/>
    </row>
    <row r="21" spans="2:7" ht="15" customHeight="1" x14ac:dyDescent="0.3">
      <c r="B21" s="1" t="s">
        <v>1129</v>
      </c>
      <c r="C21" s="1"/>
      <c r="D21" s="71"/>
      <c r="E21" s="42" t="s">
        <v>41</v>
      </c>
      <c r="G21" s="340"/>
    </row>
    <row r="22" spans="2:7" ht="15" customHeight="1" x14ac:dyDescent="0.3">
      <c r="B22" s="1" t="s">
        <v>1130</v>
      </c>
      <c r="D22" s="71"/>
      <c r="E22" s="40" t="s">
        <v>454</v>
      </c>
      <c r="G22" s="340"/>
    </row>
    <row r="23" spans="2:7" ht="15" customHeight="1" x14ac:dyDescent="0.3">
      <c r="B23" s="457" t="s">
        <v>528</v>
      </c>
      <c r="C23" s="458"/>
      <c r="D23" s="62"/>
      <c r="E23" s="1"/>
      <c r="G23" s="340"/>
    </row>
    <row r="24" spans="2:7" ht="6" customHeight="1" x14ac:dyDescent="0.25">
      <c r="G24" s="7"/>
    </row>
    <row r="25" spans="2:7" x14ac:dyDescent="0.25">
      <c r="D25" s="138" t="str">
        <f>IF(_WAEH=2,"volle DM","volle EURO")</f>
        <v>volle EURO</v>
      </c>
      <c r="G25" s="7"/>
    </row>
    <row r="26" spans="2:7" ht="15" customHeight="1" x14ac:dyDescent="0.3">
      <c r="B26" s="1" t="s">
        <v>1160</v>
      </c>
      <c r="D26" s="62"/>
      <c r="E26" s="10" t="s">
        <v>605</v>
      </c>
      <c r="G26" s="340"/>
    </row>
    <row r="27" spans="2:7" ht="8.25" customHeight="1" x14ac:dyDescent="0.25">
      <c r="B27" s="7"/>
      <c r="G27" s="7"/>
    </row>
    <row r="28" spans="2:7" ht="12.75" customHeight="1" x14ac:dyDescent="0.3">
      <c r="B28" s="148" t="s">
        <v>792</v>
      </c>
      <c r="G28" s="7"/>
    </row>
    <row r="29" spans="2:7" ht="8.25" customHeight="1" x14ac:dyDescent="0.25">
      <c r="B29" s="7"/>
      <c r="G29" s="7"/>
    </row>
    <row r="30" spans="2:7" x14ac:dyDescent="0.25">
      <c r="B30" s="135" t="s">
        <v>661</v>
      </c>
      <c r="D30" s="138" t="str">
        <f>IF(_WAEH=2,"volle DM","volle EURO")</f>
        <v>volle EURO</v>
      </c>
      <c r="G30" s="7"/>
    </row>
    <row r="31" spans="2:7" ht="15" customHeight="1" x14ac:dyDescent="0.25">
      <c r="B31" s="158" t="s">
        <v>146</v>
      </c>
      <c r="D31" s="62"/>
      <c r="E31" s="10" t="s">
        <v>455</v>
      </c>
      <c r="G31" s="340"/>
    </row>
    <row r="32" spans="2:7" ht="15" customHeight="1" x14ac:dyDescent="0.25">
      <c r="B32" s="158" t="s">
        <v>472</v>
      </c>
      <c r="D32" s="62"/>
      <c r="E32" s="10" t="s">
        <v>1120</v>
      </c>
      <c r="G32" s="340"/>
    </row>
    <row r="33" spans="2:7" ht="15" customHeight="1" x14ac:dyDescent="0.25">
      <c r="B33" s="147" t="s">
        <v>662</v>
      </c>
      <c r="D33" s="62"/>
      <c r="E33" s="10" t="s">
        <v>606</v>
      </c>
      <c r="G33" s="340"/>
    </row>
    <row r="34" spans="2:7" ht="15" customHeight="1" thickBot="1" x14ac:dyDescent="0.3">
      <c r="B34" s="135" t="s">
        <v>663</v>
      </c>
      <c r="D34" s="62"/>
      <c r="E34" s="10" t="s">
        <v>607</v>
      </c>
      <c r="G34" s="340"/>
    </row>
    <row r="35" spans="2:7" ht="15" customHeight="1" thickBot="1" x14ac:dyDescent="0.35">
      <c r="B35" s="148" t="s">
        <v>567</v>
      </c>
      <c r="D35" s="21" t="str">
        <f>IF(AND(ISBLANK(_GR10),ISBLANK(_XX50),ISBLANK(_XX26),ISBLANK(_XX27)),"",_GR10+_XX50+_XX26+_XX27)</f>
        <v/>
      </c>
      <c r="E35" s="11" t="s">
        <v>608</v>
      </c>
      <c r="G35" s="7"/>
    </row>
    <row r="36" spans="2:7" x14ac:dyDescent="0.25">
      <c r="G36" s="7"/>
    </row>
    <row r="37" spans="2:7" ht="52" x14ac:dyDescent="0.3">
      <c r="B37" s="39" t="s">
        <v>1161</v>
      </c>
      <c r="G37" s="7"/>
    </row>
    <row r="38" spans="2:7" ht="13" thickBot="1" x14ac:dyDescent="0.3">
      <c r="B38" s="157" t="s">
        <v>147</v>
      </c>
      <c r="D38" s="138" t="str">
        <f>IF(_WAEH=2,"volle DM","volle EURO")</f>
        <v>volle EURO</v>
      </c>
      <c r="G38" s="7"/>
    </row>
    <row r="39" spans="2:7" ht="15" customHeight="1" thickBot="1" x14ac:dyDescent="0.35">
      <c r="B39" s="157" t="s">
        <v>148</v>
      </c>
      <c r="D39" s="216"/>
      <c r="E39" s="11" t="s">
        <v>457</v>
      </c>
      <c r="G39" s="340"/>
    </row>
    <row r="40" spans="2:7" x14ac:dyDescent="0.25">
      <c r="G40" s="7"/>
    </row>
    <row r="41" spans="2:7" ht="13" x14ac:dyDescent="0.3">
      <c r="B41" s="1" t="s">
        <v>1162</v>
      </c>
      <c r="G41" s="7"/>
    </row>
    <row r="42" spans="2:7" ht="10" customHeight="1" x14ac:dyDescent="0.25">
      <c r="G42" s="7"/>
    </row>
    <row r="43" spans="2:7" ht="13" thickBot="1" x14ac:dyDescent="0.3">
      <c r="B43" t="s">
        <v>799</v>
      </c>
      <c r="D43" s="138" t="str">
        <f>IF(_WAEH=2,"volle DM","volle EURO")</f>
        <v>volle EURO</v>
      </c>
      <c r="G43" s="7"/>
    </row>
    <row r="44" spans="2:7" ht="15" customHeight="1" thickBot="1" x14ac:dyDescent="0.35">
      <c r="B44" t="s">
        <v>800</v>
      </c>
      <c r="D44" s="216"/>
      <c r="E44" s="11" t="s">
        <v>456</v>
      </c>
      <c r="G44" s="340"/>
    </row>
    <row r="45" spans="2:7" x14ac:dyDescent="0.25">
      <c r="G45" s="7"/>
    </row>
    <row r="46" spans="2:7" x14ac:dyDescent="0.25">
      <c r="B46" s="9"/>
    </row>
    <row r="49" spans="2:4" x14ac:dyDescent="0.25">
      <c r="D49" s="321"/>
    </row>
    <row r="51" spans="2:4" x14ac:dyDescent="0.25">
      <c r="B51" s="9"/>
    </row>
    <row r="52" spans="2:4" x14ac:dyDescent="0.25">
      <c r="B52" s="7"/>
    </row>
    <row r="54" spans="2:4" x14ac:dyDescent="0.25">
      <c r="B54" s="7"/>
    </row>
    <row r="55" spans="2:4" x14ac:dyDescent="0.25">
      <c r="B55" s="7"/>
    </row>
    <row r="57" spans="2:4" ht="13" x14ac:dyDescent="0.3">
      <c r="B57" s="7"/>
      <c r="C57" s="1"/>
    </row>
    <row r="58" spans="2:4" ht="13" x14ac:dyDescent="0.3">
      <c r="B58" s="7"/>
      <c r="C58" s="1"/>
    </row>
    <row r="59" spans="2:4" ht="13" x14ac:dyDescent="0.3">
      <c r="B59" s="12"/>
    </row>
    <row r="60" spans="2:4" ht="13" x14ac:dyDescent="0.3">
      <c r="B60" s="7"/>
      <c r="C60" s="1"/>
    </row>
    <row r="62" spans="2:4" ht="13" x14ac:dyDescent="0.3">
      <c r="B62" s="7"/>
      <c r="C62" s="1"/>
    </row>
    <row r="63" spans="2:4" ht="13" x14ac:dyDescent="0.3">
      <c r="B63" s="12"/>
    </row>
    <row r="64" spans="2:4" ht="13" x14ac:dyDescent="0.3">
      <c r="B64" s="7"/>
      <c r="C64" s="1"/>
    </row>
    <row r="67" spans="2:2" ht="13" x14ac:dyDescent="0.3">
      <c r="B67" s="1"/>
    </row>
    <row r="73" spans="2:2" ht="13" x14ac:dyDescent="0.3">
      <c r="B73" s="1"/>
    </row>
    <row r="75" spans="2:2" ht="13" x14ac:dyDescent="0.3">
      <c r="B75" s="1"/>
    </row>
    <row r="76" spans="2:2" ht="13" x14ac:dyDescent="0.3">
      <c r="B76" s="1"/>
    </row>
    <row r="77" spans="2:2" x14ac:dyDescent="0.25">
      <c r="B77" s="9"/>
    </row>
    <row r="81" spans="2:3" x14ac:dyDescent="0.25">
      <c r="B81" s="14"/>
    </row>
    <row r="82" spans="2:3" x14ac:dyDescent="0.25">
      <c r="B82" s="15"/>
    </row>
    <row r="83" spans="2:3" x14ac:dyDescent="0.25">
      <c r="B83" s="14"/>
    </row>
    <row r="85" spans="2:3" ht="13" x14ac:dyDescent="0.3">
      <c r="B85" s="12"/>
    </row>
    <row r="87" spans="2:3" x14ac:dyDescent="0.25">
      <c r="B87" s="9"/>
    </row>
    <row r="91" spans="2:3" ht="13" x14ac:dyDescent="0.3">
      <c r="B91" s="1"/>
    </row>
    <row r="93" spans="2:3" ht="13" x14ac:dyDescent="0.3">
      <c r="B93" s="7"/>
      <c r="C93" s="1"/>
    </row>
    <row r="94" spans="2:3" ht="13" x14ac:dyDescent="0.3">
      <c r="B94" s="7"/>
      <c r="C94" s="1"/>
    </row>
    <row r="95" spans="2:3" ht="13" x14ac:dyDescent="0.3">
      <c r="B95" s="7"/>
      <c r="C95" s="1"/>
    </row>
    <row r="96" spans="2:3" ht="13" x14ac:dyDescent="0.3">
      <c r="B96" s="1"/>
      <c r="C96" s="1"/>
    </row>
    <row r="98" spans="2:6" ht="13" x14ac:dyDescent="0.3">
      <c r="B98" s="9"/>
      <c r="C98" s="1"/>
    </row>
    <row r="100" spans="2:6" ht="13" x14ac:dyDescent="0.3">
      <c r="B100" s="7"/>
      <c r="C100" s="1"/>
    </row>
    <row r="101" spans="2:6" ht="13" x14ac:dyDescent="0.3">
      <c r="B101" s="7"/>
      <c r="C101" s="1"/>
    </row>
    <row r="102" spans="2:6" ht="13" x14ac:dyDescent="0.3">
      <c r="D102" s="1"/>
      <c r="E102" s="1"/>
      <c r="F102" s="1"/>
    </row>
    <row r="103" spans="2:6" ht="13" x14ac:dyDescent="0.3">
      <c r="D103" s="1"/>
      <c r="E103" s="1"/>
      <c r="F103" s="1"/>
    </row>
  </sheetData>
  <sheetProtection password="92CE" sheet="1"/>
  <phoneticPr fontId="0" type="noConversion"/>
  <dataValidations count="1">
    <dataValidation type="decimal" allowBlank="1" showInputMessage="1" showErrorMessage="1" errorTitle="Eingabefehler Zinsen HBW" error="Die Zinsen, die der Hausbewirtschaftung zuzurechnen sind, können nicht kleiner 0 und nicht größer als die Zinsen sein, die insgesamt in der G/V ausgewiesen werden." sqref="D20:D21 D17" xr:uid="{00000000-0002-0000-0800-000000000000}">
      <formula1>0</formula1>
      <formula2>D3</formula2>
    </dataValidation>
  </dataValidations>
  <pageMargins left="0.78740157499999996" right="0.32" top="0.63" bottom="0.984251969" header="0.4921259845" footer="0.4921259845"/>
  <pageSetup paperSize="9" scale="99" orientation="portrait" horizontalDpi="4294967292" verticalDpi="300" r:id="rId1"/>
  <headerFooter alignWithMargins="0">
    <oddFooter>&amp;C&amp;"Arial,Fett"Teil I - Seite 9</oddFooter>
  </headerFooter>
  <drawing r:id="rId2"/>
  <legacyDrawing r:id="rId3"/>
  <controls>
    <mc:AlternateContent xmlns:mc="http://schemas.openxmlformats.org/markup-compatibility/2006">
      <mc:Choice Requires="x14">
        <control shapeId="14337" r:id="rId4" name="CommandButton1">
          <controlPr defaultSize="0" autoLine="0" r:id="rId5">
            <anchor moveWithCells="1">
              <from>
                <xdr:col>0</xdr:col>
                <xdr:colOff>25400</xdr:colOff>
                <xdr:row>44</xdr:row>
                <xdr:rowOff>101600</xdr:rowOff>
              </from>
              <to>
                <xdr:col>1</xdr:col>
                <xdr:colOff>876300</xdr:colOff>
                <xdr:row>46</xdr:row>
                <xdr:rowOff>114300</xdr:rowOff>
              </to>
            </anchor>
          </controlPr>
        </control>
      </mc:Choice>
      <mc:Fallback>
        <control shapeId="14337" r:id="rId4" name="CommandButton1"/>
      </mc:Fallback>
    </mc:AlternateContent>
    <mc:AlternateContent xmlns:mc="http://schemas.openxmlformats.org/markup-compatibility/2006">
      <mc:Choice Requires="x14">
        <control shapeId="14340" r:id="rId6" name="CommandButton2">
          <controlPr defaultSize="0" autoLine="0" r:id="rId7">
            <anchor moveWithCells="1">
              <from>
                <xdr:col>3</xdr:col>
                <xdr:colOff>0</xdr:colOff>
                <xdr:row>45</xdr:row>
                <xdr:rowOff>0</xdr:rowOff>
              </from>
              <to>
                <xdr:col>3</xdr:col>
                <xdr:colOff>1117600</xdr:colOff>
                <xdr:row>46</xdr:row>
                <xdr:rowOff>152400</xdr:rowOff>
              </to>
            </anchor>
          </controlPr>
        </control>
      </mc:Choice>
      <mc:Fallback>
        <control shapeId="14340" r:id="rId6" name="CommandButton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1039</vt:i4>
      </vt:variant>
    </vt:vector>
  </HeadingPairs>
  <TitlesOfParts>
    <vt:vector size="1062" baseType="lpstr">
      <vt:lpstr>Teil I - S.1 </vt:lpstr>
      <vt:lpstr>Teil I - S.2</vt:lpstr>
      <vt:lpstr>Teil I - S.3</vt:lpstr>
      <vt:lpstr>Teil I - S.4</vt:lpstr>
      <vt:lpstr>Teil I - S.5</vt:lpstr>
      <vt:lpstr>Teil I - S.6</vt:lpstr>
      <vt:lpstr>Teil I - S.7</vt:lpstr>
      <vt:lpstr>Teil I - S.8</vt:lpstr>
      <vt:lpstr>Teil I - S.9</vt:lpstr>
      <vt:lpstr>Teil II</vt:lpstr>
      <vt:lpstr>Teil AGW</vt:lpstr>
      <vt:lpstr>Familienheim</vt:lpstr>
      <vt:lpstr>Kennzahlen</vt:lpstr>
      <vt:lpstr>Handbuch</vt:lpstr>
      <vt:lpstr>Management Summary</vt:lpstr>
      <vt:lpstr>Kontrolle</vt:lpstr>
      <vt:lpstr>Bilanz-Kontrolle</vt:lpstr>
      <vt:lpstr>GuV-Kontrolle</vt:lpstr>
      <vt:lpstr>EBITDA</vt:lpstr>
      <vt:lpstr>Cashflow</vt:lpstr>
      <vt:lpstr>Erg.HBW</vt:lpstr>
      <vt:lpstr>VERW__</vt:lpstr>
      <vt:lpstr>Schnittstelle ALEA</vt:lpstr>
      <vt:lpstr>__INV01</vt:lpstr>
      <vt:lpstr>Erg.HBW!_AA01</vt:lpstr>
      <vt:lpstr>VERW__!_AA01</vt:lpstr>
      <vt:lpstr>_AA01</vt:lpstr>
      <vt:lpstr>Erg.HBW!_AA02</vt:lpstr>
      <vt:lpstr>VERW__!_AA02</vt:lpstr>
      <vt:lpstr>_AA02</vt:lpstr>
      <vt:lpstr>Erg.HBW!_AA03</vt:lpstr>
      <vt:lpstr>VERW__!_AA03</vt:lpstr>
      <vt:lpstr>_AA03</vt:lpstr>
      <vt:lpstr>Erg.HBW!_AA04</vt:lpstr>
      <vt:lpstr>VERW__!_AA04</vt:lpstr>
      <vt:lpstr>_AA04</vt:lpstr>
      <vt:lpstr>Erg.HBW!_AA10</vt:lpstr>
      <vt:lpstr>VERW__!_AA10</vt:lpstr>
      <vt:lpstr>_AA10</vt:lpstr>
      <vt:lpstr>Erg.HBW!_ABDT</vt:lpstr>
      <vt:lpstr>VERW__!_ABDT</vt:lpstr>
      <vt:lpstr>_ABDT</vt:lpstr>
      <vt:lpstr>Erg.HBW!_AE01</vt:lpstr>
      <vt:lpstr>VERW__!_AE01</vt:lpstr>
      <vt:lpstr>_AE01</vt:lpstr>
      <vt:lpstr>Erg.HBW!_AF10</vt:lpstr>
      <vt:lpstr>VERW__!_AF10</vt:lpstr>
      <vt:lpstr>_AF10</vt:lpstr>
      <vt:lpstr>Erg.HBW!_AH01</vt:lpstr>
      <vt:lpstr>VERW__!_AH01</vt:lpstr>
      <vt:lpstr>_AH01</vt:lpstr>
      <vt:lpstr>Erg.HBW!_AH10</vt:lpstr>
      <vt:lpstr>VERW__!_AH10</vt:lpstr>
      <vt:lpstr>_AH10</vt:lpstr>
      <vt:lpstr>Erg.HBW!_AI01</vt:lpstr>
      <vt:lpstr>VERW__!_AI01</vt:lpstr>
      <vt:lpstr>_AI01</vt:lpstr>
      <vt:lpstr>Erg.HBW!_AK08</vt:lpstr>
      <vt:lpstr>VERW__!_AK08</vt:lpstr>
      <vt:lpstr>_AK08</vt:lpstr>
      <vt:lpstr>Erg.HBW!_AM01</vt:lpstr>
      <vt:lpstr>VERW__!_AM01</vt:lpstr>
      <vt:lpstr>_AM01</vt:lpstr>
      <vt:lpstr>Erg.HBW!_ANK01</vt:lpstr>
      <vt:lpstr>VERW__!_ANK01</vt:lpstr>
      <vt:lpstr>_ANK01</vt:lpstr>
      <vt:lpstr>Erg.HBW!_ANK02</vt:lpstr>
      <vt:lpstr>VERW__!_ANK02</vt:lpstr>
      <vt:lpstr>_ANK02</vt:lpstr>
      <vt:lpstr>Erg.HBW!_AS01</vt:lpstr>
      <vt:lpstr>VERW__!_AS01</vt:lpstr>
      <vt:lpstr>_AS01</vt:lpstr>
      <vt:lpstr>Erg.HBW!_AS02</vt:lpstr>
      <vt:lpstr>VERW__!_AS02</vt:lpstr>
      <vt:lpstr>_AS02</vt:lpstr>
      <vt:lpstr>Erg.HBW!_AS03</vt:lpstr>
      <vt:lpstr>VERW__!_AS03</vt:lpstr>
      <vt:lpstr>_AS03</vt:lpstr>
      <vt:lpstr>Erg.HBW!_AS04</vt:lpstr>
      <vt:lpstr>VERW__!_AS04</vt:lpstr>
      <vt:lpstr>_AS04</vt:lpstr>
      <vt:lpstr>Erg.HBW!_AS05</vt:lpstr>
      <vt:lpstr>VERW__!_AS05</vt:lpstr>
      <vt:lpstr>_AS05</vt:lpstr>
      <vt:lpstr>Erg.HBW!_AS10</vt:lpstr>
      <vt:lpstr>VERW__!_AS10</vt:lpstr>
      <vt:lpstr>_AS10</vt:lpstr>
      <vt:lpstr>Erg.HBW!_AUSD</vt:lpstr>
      <vt:lpstr>VERW__!_AUSD</vt:lpstr>
      <vt:lpstr>_AUSD</vt:lpstr>
      <vt:lpstr>Erg.HBW!_AV08</vt:lpstr>
      <vt:lpstr>VERW__!_AV08</vt:lpstr>
      <vt:lpstr>_AV08</vt:lpstr>
      <vt:lpstr>Erg.HBW!_AV09</vt:lpstr>
      <vt:lpstr>VERW__!_AV09</vt:lpstr>
      <vt:lpstr>_AV09</vt:lpstr>
      <vt:lpstr>Erg.HBW!_AV10</vt:lpstr>
      <vt:lpstr>VERW__!_AV10</vt:lpstr>
      <vt:lpstr>_AV10</vt:lpstr>
      <vt:lpstr>Erg.HBW!_AV11</vt:lpstr>
      <vt:lpstr>VERW__!_AV11</vt:lpstr>
      <vt:lpstr>_AV11</vt:lpstr>
      <vt:lpstr>Erg.HBW!_AV12</vt:lpstr>
      <vt:lpstr>VERW__!_AV12</vt:lpstr>
      <vt:lpstr>_AV12</vt:lpstr>
      <vt:lpstr>Erg.HBW!_AV13</vt:lpstr>
      <vt:lpstr>VERW__!_AV13</vt:lpstr>
      <vt:lpstr>_AV13</vt:lpstr>
      <vt:lpstr>Erg.HBW!_AV14</vt:lpstr>
      <vt:lpstr>VERW__!_AV14</vt:lpstr>
      <vt:lpstr>_AV14</vt:lpstr>
      <vt:lpstr>Erg.HBW!_AV15</vt:lpstr>
      <vt:lpstr>VERW__!_AV15</vt:lpstr>
      <vt:lpstr>_AV15</vt:lpstr>
      <vt:lpstr>Erg.HBW!_AV16</vt:lpstr>
      <vt:lpstr>VERW__!_AV16</vt:lpstr>
      <vt:lpstr>_AV16</vt:lpstr>
      <vt:lpstr>Erg.HBW!_AV17</vt:lpstr>
      <vt:lpstr>VERW__!_AV17</vt:lpstr>
      <vt:lpstr>_AV17</vt:lpstr>
      <vt:lpstr>Erg.HBW!_BA01</vt:lpstr>
      <vt:lpstr>VERW__!_BA01</vt:lpstr>
      <vt:lpstr>_BA01</vt:lpstr>
      <vt:lpstr>Erg.HBW!_BA08</vt:lpstr>
      <vt:lpstr>VERW__!_BA08</vt:lpstr>
      <vt:lpstr>_BA08</vt:lpstr>
      <vt:lpstr>Erg.HBW!_BA09</vt:lpstr>
      <vt:lpstr>VERW__!_BA09</vt:lpstr>
      <vt:lpstr>_BA09</vt:lpstr>
      <vt:lpstr>Erg.HBW!_BA10</vt:lpstr>
      <vt:lpstr>VERW__!_BA10</vt:lpstr>
      <vt:lpstr>_BA10</vt:lpstr>
      <vt:lpstr>Erg.HBW!_BA14</vt:lpstr>
      <vt:lpstr>VERW__!_BA14</vt:lpstr>
      <vt:lpstr>_BA14</vt:lpstr>
      <vt:lpstr>Erg.HBW!_BA15</vt:lpstr>
      <vt:lpstr>VERW__!_BA15</vt:lpstr>
      <vt:lpstr>_BA15</vt:lpstr>
      <vt:lpstr>Erg.HBW!_BA20</vt:lpstr>
      <vt:lpstr>VERW__!_BA20</vt:lpstr>
      <vt:lpstr>_BA20</vt:lpstr>
      <vt:lpstr>Erg.HBW!_BA21</vt:lpstr>
      <vt:lpstr>VERW__!_BA21</vt:lpstr>
      <vt:lpstr>_BA21</vt:lpstr>
      <vt:lpstr>Erg.HBW!_BA22</vt:lpstr>
      <vt:lpstr>VERW__!_BA22</vt:lpstr>
      <vt:lpstr>_BA22</vt:lpstr>
      <vt:lpstr>Erg.HBW!_BA23</vt:lpstr>
      <vt:lpstr>VERW__!_BA23</vt:lpstr>
      <vt:lpstr>_BA23</vt:lpstr>
      <vt:lpstr>Erg.HBW!_BA24</vt:lpstr>
      <vt:lpstr>VERW__!_BA24</vt:lpstr>
      <vt:lpstr>_BA24</vt:lpstr>
      <vt:lpstr>Erg.HBW!_BA31</vt:lpstr>
      <vt:lpstr>VERW__!_BA31</vt:lpstr>
      <vt:lpstr>_BA31</vt:lpstr>
      <vt:lpstr>Erg.HBW!_BA32</vt:lpstr>
      <vt:lpstr>VERW__!_BA32</vt:lpstr>
      <vt:lpstr>_BA32</vt:lpstr>
      <vt:lpstr>Erg.HBW!_BA33</vt:lpstr>
      <vt:lpstr>VERW__!_BA33</vt:lpstr>
      <vt:lpstr>_BA33</vt:lpstr>
      <vt:lpstr>Erg.HBW!_BA34</vt:lpstr>
      <vt:lpstr>VERW__!_BA34</vt:lpstr>
      <vt:lpstr>_BA34</vt:lpstr>
      <vt:lpstr>Erg.HBW!_BAUB</vt:lpstr>
      <vt:lpstr>VERW__!_BAUB</vt:lpstr>
      <vt:lpstr>_BAUB</vt:lpstr>
      <vt:lpstr>Erg.HBW!_BAUT</vt:lpstr>
      <vt:lpstr>VERW__!_BAUT</vt:lpstr>
      <vt:lpstr>_BAUT</vt:lpstr>
      <vt:lpstr>Erg.HBW!_BEAU</vt:lpstr>
      <vt:lpstr>VERW__!_BEAU</vt:lpstr>
      <vt:lpstr>_BEAU</vt:lpstr>
      <vt:lpstr>Erg.HBW!_BEAV</vt:lpstr>
      <vt:lpstr>VERW__!_BEAV</vt:lpstr>
      <vt:lpstr>_BEAV</vt:lpstr>
      <vt:lpstr>Erg.HBW!_BILF</vt:lpstr>
      <vt:lpstr>VERW__!_BILF</vt:lpstr>
      <vt:lpstr>_BILF</vt:lpstr>
      <vt:lpstr>Erg.HBW!_BK01</vt:lpstr>
      <vt:lpstr>VERW__!_BK01</vt:lpstr>
      <vt:lpstr>_BK01</vt:lpstr>
      <vt:lpstr>Erg.HBW!_BK02</vt:lpstr>
      <vt:lpstr>VERW__!_BK02</vt:lpstr>
      <vt:lpstr>_BK02</vt:lpstr>
      <vt:lpstr>Erg.HBW!_BS10</vt:lpstr>
      <vt:lpstr>VERW__!_BS10</vt:lpstr>
      <vt:lpstr>_BS10</vt:lpstr>
      <vt:lpstr>Erg.HBW!_BULA</vt:lpstr>
      <vt:lpstr>VERW__!_BULA</vt:lpstr>
      <vt:lpstr>_BULA</vt:lpstr>
      <vt:lpstr>Erg.HBW!_BV10</vt:lpstr>
      <vt:lpstr>VERW__!_BV10</vt:lpstr>
      <vt:lpstr>_BV10</vt:lpstr>
      <vt:lpstr>Erg.HBW!_CF01</vt:lpstr>
      <vt:lpstr>VERW__!_CF01</vt:lpstr>
      <vt:lpstr>_CF01</vt:lpstr>
      <vt:lpstr>Erg.HBW!_CF02</vt:lpstr>
      <vt:lpstr>VERW__!_CF02</vt:lpstr>
      <vt:lpstr>_CF02</vt:lpstr>
      <vt:lpstr>Erg.HBW!_EA01</vt:lpstr>
      <vt:lpstr>VERW__!_EA01</vt:lpstr>
      <vt:lpstr>_EA01</vt:lpstr>
      <vt:lpstr>Erg.HBW!_EA10</vt:lpstr>
      <vt:lpstr>VERW__!_EA10</vt:lpstr>
      <vt:lpstr>_EA10</vt:lpstr>
      <vt:lpstr>Erg.HBW!_EB01</vt:lpstr>
      <vt:lpstr>VERW__!_EB01</vt:lpstr>
      <vt:lpstr>_EB01</vt:lpstr>
      <vt:lpstr>Erg.HBW!_EE01</vt:lpstr>
      <vt:lpstr>VERW__!_EE01</vt:lpstr>
      <vt:lpstr>_EE01</vt:lpstr>
      <vt:lpstr>Erg.HBW!_EE02</vt:lpstr>
      <vt:lpstr>VERW__!_EE02</vt:lpstr>
      <vt:lpstr>_EE02</vt:lpstr>
      <vt:lpstr>Erg.HBW!_EE03</vt:lpstr>
      <vt:lpstr>VERW__!_EE03</vt:lpstr>
      <vt:lpstr>_EE03</vt:lpstr>
      <vt:lpstr>Erg.HBW!_EE04</vt:lpstr>
      <vt:lpstr>VERW__!_EE04</vt:lpstr>
      <vt:lpstr>_EE04</vt:lpstr>
      <vt:lpstr>Erg.HBW!_EIGT</vt:lpstr>
      <vt:lpstr>VERW__!_EIGT</vt:lpstr>
      <vt:lpstr>_EIGT</vt:lpstr>
      <vt:lpstr>Erg.HBW!_EINH</vt:lpstr>
      <vt:lpstr>VERW__!_EINH</vt:lpstr>
      <vt:lpstr>_EINH</vt:lpstr>
      <vt:lpstr>Erg.HBW!_EK09</vt:lpstr>
      <vt:lpstr>VERW__!_EK09</vt:lpstr>
      <vt:lpstr>_EK09</vt:lpstr>
      <vt:lpstr>Erg.HBW!_EK10</vt:lpstr>
      <vt:lpstr>VERW__!_EK10</vt:lpstr>
      <vt:lpstr>_EK10</vt:lpstr>
      <vt:lpstr>Erg.HBW!_EN10</vt:lpstr>
      <vt:lpstr>VERW__!_EN10</vt:lpstr>
      <vt:lpstr>_EN10</vt:lpstr>
      <vt:lpstr>Erg.HBW!_EN11</vt:lpstr>
      <vt:lpstr>VERW__!_EN11</vt:lpstr>
      <vt:lpstr>_EN11</vt:lpstr>
      <vt:lpstr>Erg.HBW!_EN12</vt:lpstr>
      <vt:lpstr>VERW__!_EN12</vt:lpstr>
      <vt:lpstr>_EN12</vt:lpstr>
      <vt:lpstr>Erg.HBW!_EN13</vt:lpstr>
      <vt:lpstr>VERW__!_EN13</vt:lpstr>
      <vt:lpstr>_EN13</vt:lpstr>
      <vt:lpstr>Erg.HBW!_ES02</vt:lpstr>
      <vt:lpstr>VERW__!_ES02</vt:lpstr>
      <vt:lpstr>_ES02</vt:lpstr>
      <vt:lpstr>Erg.HBW!_ES11</vt:lpstr>
      <vt:lpstr>VERW__!_ES11</vt:lpstr>
      <vt:lpstr>_ES11</vt:lpstr>
      <vt:lpstr>Erg.HBW!_ES12</vt:lpstr>
      <vt:lpstr>VERW__!_ES12</vt:lpstr>
      <vt:lpstr>_ES12</vt:lpstr>
      <vt:lpstr>Erg.HBW!_EW01</vt:lpstr>
      <vt:lpstr>VERW__!_EW01</vt:lpstr>
      <vt:lpstr>_EW01</vt:lpstr>
      <vt:lpstr>Erg.HBW!_EZ01</vt:lpstr>
      <vt:lpstr>VERW__!_EZ01</vt:lpstr>
      <vt:lpstr>_EZ01</vt:lpstr>
      <vt:lpstr>Erg.HBW!_EZ02</vt:lpstr>
      <vt:lpstr>VERW__!_EZ02</vt:lpstr>
      <vt:lpstr>_EZ02</vt:lpstr>
      <vt:lpstr>Erg.HBW!_FE10</vt:lpstr>
      <vt:lpstr>VERW__!_FE10</vt:lpstr>
      <vt:lpstr>_FE10</vt:lpstr>
      <vt:lpstr>Erg.HBW!_FK10</vt:lpstr>
      <vt:lpstr>VERW__!_FK10</vt:lpstr>
      <vt:lpstr>_FK10</vt:lpstr>
      <vt:lpstr>Handbuch!_FK10N</vt:lpstr>
      <vt:lpstr>_FK10N</vt:lpstr>
      <vt:lpstr>Erg.HBW!_FK50</vt:lpstr>
      <vt:lpstr>VERW__!_FK50</vt:lpstr>
      <vt:lpstr>_FK50</vt:lpstr>
      <vt:lpstr>Handbuch!_FK50N</vt:lpstr>
      <vt:lpstr>_FK50N</vt:lpstr>
      <vt:lpstr>Erg.HBW!_GK09</vt:lpstr>
      <vt:lpstr>VERW__!_GK09</vt:lpstr>
      <vt:lpstr>_GK09</vt:lpstr>
      <vt:lpstr>Erg.HBW!_GK10</vt:lpstr>
      <vt:lpstr>VERW__!_GK10</vt:lpstr>
      <vt:lpstr>_GK10</vt:lpstr>
      <vt:lpstr>Erg.HBW!_GR10</vt:lpstr>
      <vt:lpstr>VERW__!_GR10</vt:lpstr>
      <vt:lpstr>_GR10</vt:lpstr>
      <vt:lpstr>Erg.HBW!_GW10</vt:lpstr>
      <vt:lpstr>VERW__!_GW10</vt:lpstr>
      <vt:lpstr>_GW10</vt:lpstr>
      <vt:lpstr>Erg.HBW!_GW20</vt:lpstr>
      <vt:lpstr>VERW__!_GW20</vt:lpstr>
      <vt:lpstr>_GW20</vt:lpstr>
      <vt:lpstr>Erg.HBW!_HA12</vt:lpstr>
      <vt:lpstr>VERW__!_HA12</vt:lpstr>
      <vt:lpstr>_HA12</vt:lpstr>
      <vt:lpstr>Erg.HBW!_HK01</vt:lpstr>
      <vt:lpstr>VERW__!_HK01</vt:lpstr>
      <vt:lpstr>_HK01</vt:lpstr>
      <vt:lpstr>Erg.HBW!_HK02</vt:lpstr>
      <vt:lpstr>VERW__!_HK02</vt:lpstr>
      <vt:lpstr>_HK02</vt:lpstr>
      <vt:lpstr>Erg.HBW!_HK10</vt:lpstr>
      <vt:lpstr>VERW__!_HK10</vt:lpstr>
      <vt:lpstr>_HK10</vt:lpstr>
      <vt:lpstr>Erg.HBW!_IK01</vt:lpstr>
      <vt:lpstr>VERW__!_IK01</vt:lpstr>
      <vt:lpstr>_IK01</vt:lpstr>
      <vt:lpstr>Erg.HBW!_IK02</vt:lpstr>
      <vt:lpstr>VERW__!_IK02</vt:lpstr>
      <vt:lpstr>_IK02</vt:lpstr>
      <vt:lpstr>Erg.HBW!_IK03</vt:lpstr>
      <vt:lpstr>VERW__!_IK03</vt:lpstr>
      <vt:lpstr>_IK03</vt:lpstr>
      <vt:lpstr>Erg.HBW!_IK10</vt:lpstr>
      <vt:lpstr>VERW__!_IK10</vt:lpstr>
      <vt:lpstr>_IK10</vt:lpstr>
      <vt:lpstr>_INV01</vt:lpstr>
      <vt:lpstr>_INV02</vt:lpstr>
      <vt:lpstr>Erg.HBW!_IV10</vt:lpstr>
      <vt:lpstr>VERW__!_IV10</vt:lpstr>
      <vt:lpstr>_IV10</vt:lpstr>
      <vt:lpstr>Erg.HBW!_JAHR</vt:lpstr>
      <vt:lpstr>VERW__!_JAHR</vt:lpstr>
      <vt:lpstr>_JAHR</vt:lpstr>
      <vt:lpstr>Erg.HBW!_K01</vt:lpstr>
      <vt:lpstr>VERW__!_K01</vt:lpstr>
      <vt:lpstr>_K01</vt:lpstr>
      <vt:lpstr>Erg.HBW!_K01A</vt:lpstr>
      <vt:lpstr>VERW__!_K01A</vt:lpstr>
      <vt:lpstr>_K01A</vt:lpstr>
      <vt:lpstr>Erg.HBW!_K02</vt:lpstr>
      <vt:lpstr>VERW__!_K02</vt:lpstr>
      <vt:lpstr>_K02</vt:lpstr>
      <vt:lpstr>Erg.HBW!_K02A</vt:lpstr>
      <vt:lpstr>VERW__!_K02A</vt:lpstr>
      <vt:lpstr>_K02A</vt:lpstr>
      <vt:lpstr>_K03</vt:lpstr>
      <vt:lpstr>_K04</vt:lpstr>
      <vt:lpstr>Erg.HBW!_K05</vt:lpstr>
      <vt:lpstr>VERW__!_K05</vt:lpstr>
      <vt:lpstr>_K05</vt:lpstr>
      <vt:lpstr>_K05A</vt:lpstr>
      <vt:lpstr>_K05D</vt:lpstr>
      <vt:lpstr>_K06</vt:lpstr>
      <vt:lpstr>Erg.HBW!_K06A</vt:lpstr>
      <vt:lpstr>VERW__!_K06A</vt:lpstr>
      <vt:lpstr>_K06A</vt:lpstr>
      <vt:lpstr>_K06B</vt:lpstr>
      <vt:lpstr>Erg.HBW!_K06C</vt:lpstr>
      <vt:lpstr>VERW__!_K06C</vt:lpstr>
      <vt:lpstr>_K06C</vt:lpstr>
      <vt:lpstr>Erg.HBW!_K06D</vt:lpstr>
      <vt:lpstr>VERW__!_K06D</vt:lpstr>
      <vt:lpstr>_K06D</vt:lpstr>
      <vt:lpstr>Erg.HBW!_K06E</vt:lpstr>
      <vt:lpstr>VERW__!_K06E</vt:lpstr>
      <vt:lpstr>_K06E</vt:lpstr>
      <vt:lpstr>Erg.HBW!_K07</vt:lpstr>
      <vt:lpstr>VERW__!_K07</vt:lpstr>
      <vt:lpstr>_K07</vt:lpstr>
      <vt:lpstr>Erg.HBW!_K08</vt:lpstr>
      <vt:lpstr>VERW__!_K08</vt:lpstr>
      <vt:lpstr>_K08</vt:lpstr>
      <vt:lpstr>_K08A</vt:lpstr>
      <vt:lpstr>_K08B</vt:lpstr>
      <vt:lpstr>_K08C</vt:lpstr>
      <vt:lpstr>_K08D</vt:lpstr>
      <vt:lpstr>_K09</vt:lpstr>
      <vt:lpstr>Handbuch!_K10</vt:lpstr>
      <vt:lpstr>_K10</vt:lpstr>
      <vt:lpstr>Handbuch!_K11</vt:lpstr>
      <vt:lpstr>_K11</vt:lpstr>
      <vt:lpstr>Erg.HBW!_K12</vt:lpstr>
      <vt:lpstr>Handbuch!_K12</vt:lpstr>
      <vt:lpstr>VERW__!_K12</vt:lpstr>
      <vt:lpstr>_K12</vt:lpstr>
      <vt:lpstr>Handbuch!_K13</vt:lpstr>
      <vt:lpstr>_K13</vt:lpstr>
      <vt:lpstr>Erg.HBW!_K14</vt:lpstr>
      <vt:lpstr>Handbuch!_K14</vt:lpstr>
      <vt:lpstr>VERW__!_K14</vt:lpstr>
      <vt:lpstr>_K14</vt:lpstr>
      <vt:lpstr>Erg.HBW!_K14A</vt:lpstr>
      <vt:lpstr>VERW__!_K14A</vt:lpstr>
      <vt:lpstr>_K14A</vt:lpstr>
      <vt:lpstr>Erg.HBW!_K14B</vt:lpstr>
      <vt:lpstr>VERW__!_K14B</vt:lpstr>
      <vt:lpstr>_K14B</vt:lpstr>
      <vt:lpstr>Erg.HBW!_K14C</vt:lpstr>
      <vt:lpstr>VERW__!_K14C</vt:lpstr>
      <vt:lpstr>_K14C</vt:lpstr>
      <vt:lpstr>Erg.HBW!_K15</vt:lpstr>
      <vt:lpstr>Handbuch!_K15</vt:lpstr>
      <vt:lpstr>VERW__!_K15</vt:lpstr>
      <vt:lpstr>_K15</vt:lpstr>
      <vt:lpstr>_K15A</vt:lpstr>
      <vt:lpstr>Erg.HBW!_K16</vt:lpstr>
      <vt:lpstr>Handbuch!_K16</vt:lpstr>
      <vt:lpstr>VERW__!_K16</vt:lpstr>
      <vt:lpstr>_K16</vt:lpstr>
      <vt:lpstr>Handbuch!_K17</vt:lpstr>
      <vt:lpstr>_K17</vt:lpstr>
      <vt:lpstr>Handbuch!_K18</vt:lpstr>
      <vt:lpstr>_K18</vt:lpstr>
      <vt:lpstr>Handbuch!_K19</vt:lpstr>
      <vt:lpstr>_K19</vt:lpstr>
      <vt:lpstr>Handbuch!_K2</vt:lpstr>
      <vt:lpstr>_K2</vt:lpstr>
      <vt:lpstr>Handbuch!_K20</vt:lpstr>
      <vt:lpstr>_K20</vt:lpstr>
      <vt:lpstr>Erg.HBW!_K21</vt:lpstr>
      <vt:lpstr>Handbuch!_K21</vt:lpstr>
      <vt:lpstr>VERW__!_K21</vt:lpstr>
      <vt:lpstr>_K21</vt:lpstr>
      <vt:lpstr>Erg.HBW!_K22</vt:lpstr>
      <vt:lpstr>Handbuch!_K22</vt:lpstr>
      <vt:lpstr>VERW__!_K22</vt:lpstr>
      <vt:lpstr>_K22</vt:lpstr>
      <vt:lpstr>Erg.HBW!_K23</vt:lpstr>
      <vt:lpstr>Handbuch!_K23</vt:lpstr>
      <vt:lpstr>VERW__!_K23</vt:lpstr>
      <vt:lpstr>_K23</vt:lpstr>
      <vt:lpstr>_K23A</vt:lpstr>
      <vt:lpstr>Handbuch!_K24</vt:lpstr>
      <vt:lpstr>_K24</vt:lpstr>
      <vt:lpstr>Erg.HBW!_K25</vt:lpstr>
      <vt:lpstr>Handbuch!_K25</vt:lpstr>
      <vt:lpstr>VERW__!_K25</vt:lpstr>
      <vt:lpstr>_K25</vt:lpstr>
      <vt:lpstr>Handbuch!_K26</vt:lpstr>
      <vt:lpstr>_K26</vt:lpstr>
      <vt:lpstr>Erg.HBW!_K27</vt:lpstr>
      <vt:lpstr>Handbuch!_K27</vt:lpstr>
      <vt:lpstr>VERW__!_K27</vt:lpstr>
      <vt:lpstr>_K27</vt:lpstr>
      <vt:lpstr>_K27A</vt:lpstr>
      <vt:lpstr>Erg.HBW!_K28</vt:lpstr>
      <vt:lpstr>Handbuch!_K28</vt:lpstr>
      <vt:lpstr>VERW__!_K28</vt:lpstr>
      <vt:lpstr>_K28</vt:lpstr>
      <vt:lpstr>Handbuch!_K29</vt:lpstr>
      <vt:lpstr>_K29</vt:lpstr>
      <vt:lpstr>Handbuch!_K3</vt:lpstr>
      <vt:lpstr>_K3</vt:lpstr>
      <vt:lpstr>Erg.HBW!_K30</vt:lpstr>
      <vt:lpstr>Handbuch!_K30</vt:lpstr>
      <vt:lpstr>VERW__!_K30</vt:lpstr>
      <vt:lpstr>_K30</vt:lpstr>
      <vt:lpstr>_K30A</vt:lpstr>
      <vt:lpstr>_K30B</vt:lpstr>
      <vt:lpstr>Erg.HBW!_K31</vt:lpstr>
      <vt:lpstr>Handbuch!_K31</vt:lpstr>
      <vt:lpstr>VERW__!_K31</vt:lpstr>
      <vt:lpstr>_K31</vt:lpstr>
      <vt:lpstr>_K31A</vt:lpstr>
      <vt:lpstr>Handbuch!_K32</vt:lpstr>
      <vt:lpstr>_K32</vt:lpstr>
      <vt:lpstr>_K32A</vt:lpstr>
      <vt:lpstr>Handbuch!_K33</vt:lpstr>
      <vt:lpstr>_K33</vt:lpstr>
      <vt:lpstr>_K33A</vt:lpstr>
      <vt:lpstr>_K33B</vt:lpstr>
      <vt:lpstr>Handbuch!_K34</vt:lpstr>
      <vt:lpstr>_K34</vt:lpstr>
      <vt:lpstr>Handbuch!_K35</vt:lpstr>
      <vt:lpstr>_K35</vt:lpstr>
      <vt:lpstr>Handbuch!_K36</vt:lpstr>
      <vt:lpstr>_K36</vt:lpstr>
      <vt:lpstr>_K36A</vt:lpstr>
      <vt:lpstr>Handbuch!_K37</vt:lpstr>
      <vt:lpstr>_K37</vt:lpstr>
      <vt:lpstr>_K37A</vt:lpstr>
      <vt:lpstr>Handbuch!_K38</vt:lpstr>
      <vt:lpstr>_K38</vt:lpstr>
      <vt:lpstr>Erg.HBW!_K38A</vt:lpstr>
      <vt:lpstr>VERW__!_K38A</vt:lpstr>
      <vt:lpstr>_K38A</vt:lpstr>
      <vt:lpstr>Handbuch!_K39</vt:lpstr>
      <vt:lpstr>_K39</vt:lpstr>
      <vt:lpstr>_K39A</vt:lpstr>
      <vt:lpstr>Handbuch!_K4</vt:lpstr>
      <vt:lpstr>_K4</vt:lpstr>
      <vt:lpstr>Erg.HBW!_K40</vt:lpstr>
      <vt:lpstr>Handbuch!_K40</vt:lpstr>
      <vt:lpstr>VERW__!_K40</vt:lpstr>
      <vt:lpstr>_K40</vt:lpstr>
      <vt:lpstr>_K40A</vt:lpstr>
      <vt:lpstr>Handbuch!_K41</vt:lpstr>
      <vt:lpstr>_K41</vt:lpstr>
      <vt:lpstr>Erg.HBW!_K42</vt:lpstr>
      <vt:lpstr>Handbuch!_K42</vt:lpstr>
      <vt:lpstr>VERW__!_K42</vt:lpstr>
      <vt:lpstr>_K42</vt:lpstr>
      <vt:lpstr>Handbuch!_K43</vt:lpstr>
      <vt:lpstr>_K43</vt:lpstr>
      <vt:lpstr>Handbuch!_K44</vt:lpstr>
      <vt:lpstr>_K44</vt:lpstr>
      <vt:lpstr>Handbuch!_K45</vt:lpstr>
      <vt:lpstr>_K45</vt:lpstr>
      <vt:lpstr>Handbuch!_K46</vt:lpstr>
      <vt:lpstr>_K46</vt:lpstr>
      <vt:lpstr>Handbuch!_K47</vt:lpstr>
      <vt:lpstr>_K47</vt:lpstr>
      <vt:lpstr>Handbuch!_K48</vt:lpstr>
      <vt:lpstr>_K48</vt:lpstr>
      <vt:lpstr>_K48A</vt:lpstr>
      <vt:lpstr>Erg.HBW!_K48B</vt:lpstr>
      <vt:lpstr>VERW__!_K48B</vt:lpstr>
      <vt:lpstr>_K48B</vt:lpstr>
      <vt:lpstr>Handbuch!_K49</vt:lpstr>
      <vt:lpstr>_K49</vt:lpstr>
      <vt:lpstr>_K49A</vt:lpstr>
      <vt:lpstr>Handbuch!_K5</vt:lpstr>
      <vt:lpstr>_K5</vt:lpstr>
      <vt:lpstr>Erg.HBW!_K50</vt:lpstr>
      <vt:lpstr>Handbuch!_K50</vt:lpstr>
      <vt:lpstr>VERW__!_K50</vt:lpstr>
      <vt:lpstr>_K50</vt:lpstr>
      <vt:lpstr>Handbuch!_K51</vt:lpstr>
      <vt:lpstr>_K51</vt:lpstr>
      <vt:lpstr>_K52</vt:lpstr>
      <vt:lpstr>_K53</vt:lpstr>
      <vt:lpstr>Erg.HBW!_K54</vt:lpstr>
      <vt:lpstr>VERW__!_K54</vt:lpstr>
      <vt:lpstr>_K54</vt:lpstr>
      <vt:lpstr>_K55</vt:lpstr>
      <vt:lpstr>Handbuch!_K6</vt:lpstr>
      <vt:lpstr>_K6</vt:lpstr>
      <vt:lpstr>Handbuch!_K7</vt:lpstr>
      <vt:lpstr>_K7</vt:lpstr>
      <vt:lpstr>Handbuch!_K8</vt:lpstr>
      <vt:lpstr>_K8</vt:lpstr>
      <vt:lpstr>Handbuch!_K9</vt:lpstr>
      <vt:lpstr>_K9</vt:lpstr>
      <vt:lpstr>Erg.HBW!_KA03</vt:lpstr>
      <vt:lpstr>VERW__!_KA03</vt:lpstr>
      <vt:lpstr>_KA03</vt:lpstr>
      <vt:lpstr>Erg.HBW!_KA04</vt:lpstr>
      <vt:lpstr>VERW__!_KA04</vt:lpstr>
      <vt:lpstr>_KA04</vt:lpstr>
      <vt:lpstr>Erg.HBW!_KA07</vt:lpstr>
      <vt:lpstr>VERW__!_KA07</vt:lpstr>
      <vt:lpstr>_KA07</vt:lpstr>
      <vt:lpstr>Erg.HBW!_KA08</vt:lpstr>
      <vt:lpstr>VERW__!_KA08</vt:lpstr>
      <vt:lpstr>_KA08</vt:lpstr>
      <vt:lpstr>Erg.HBW!_KV08</vt:lpstr>
      <vt:lpstr>VERW__!_KV08</vt:lpstr>
      <vt:lpstr>_KV08</vt:lpstr>
      <vt:lpstr>Erg.HBW!_KV09</vt:lpstr>
      <vt:lpstr>VERW__!_KV09</vt:lpstr>
      <vt:lpstr>_KV09</vt:lpstr>
      <vt:lpstr>Erg.HBW!_KV10</vt:lpstr>
      <vt:lpstr>VERW__!_KV10</vt:lpstr>
      <vt:lpstr>_KV10</vt:lpstr>
      <vt:lpstr>Erg.HBW!_LG01</vt:lpstr>
      <vt:lpstr>VERW__!_LG01</vt:lpstr>
      <vt:lpstr>_LG01</vt:lpstr>
      <vt:lpstr>Erg.HBW!_LG02</vt:lpstr>
      <vt:lpstr>VERW__!_LG02</vt:lpstr>
      <vt:lpstr>_LG02</vt:lpstr>
      <vt:lpstr>Erg.HBW!_LG03</vt:lpstr>
      <vt:lpstr>VERW__!_LG03</vt:lpstr>
      <vt:lpstr>_LG03</vt:lpstr>
      <vt:lpstr>Erg.HBW!_LG04</vt:lpstr>
      <vt:lpstr>VERW__!_LG04</vt:lpstr>
      <vt:lpstr>_LG04</vt:lpstr>
      <vt:lpstr>Erg.HBW!_LG05</vt:lpstr>
      <vt:lpstr>VERW__!_LG05</vt:lpstr>
      <vt:lpstr>_LG05</vt:lpstr>
      <vt:lpstr>Erg.HBW!_LG06</vt:lpstr>
      <vt:lpstr>VERW__!_LG06</vt:lpstr>
      <vt:lpstr>_LG06</vt:lpstr>
      <vt:lpstr>Erg.HBW!_LG09</vt:lpstr>
      <vt:lpstr>VERW__!_LG09</vt:lpstr>
      <vt:lpstr>_LG09</vt:lpstr>
      <vt:lpstr>Erg.HBW!_LG10</vt:lpstr>
      <vt:lpstr>VERW__!_LG10</vt:lpstr>
      <vt:lpstr>_LG10</vt:lpstr>
      <vt:lpstr>Erg.HBW!_LG20</vt:lpstr>
      <vt:lpstr>VERW__!_LG20</vt:lpstr>
      <vt:lpstr>_LG20</vt:lpstr>
      <vt:lpstr>Erg.HBW!_LR09</vt:lpstr>
      <vt:lpstr>VERW__!_LR09</vt:lpstr>
      <vt:lpstr>_LR09</vt:lpstr>
      <vt:lpstr>Erg.HBW!_LR09A</vt:lpstr>
      <vt:lpstr>VERW__!_LR09A</vt:lpstr>
      <vt:lpstr>_LR09A</vt:lpstr>
      <vt:lpstr>Erg.HBW!_LR10</vt:lpstr>
      <vt:lpstr>VERW__!_LR10</vt:lpstr>
      <vt:lpstr>_LR10</vt:lpstr>
      <vt:lpstr>Handbuch!_LR10N</vt:lpstr>
      <vt:lpstr>_LR10N</vt:lpstr>
      <vt:lpstr>Erg.HBW!_LV10</vt:lpstr>
      <vt:lpstr>VERW__!_LV10</vt:lpstr>
      <vt:lpstr>_LV10</vt:lpstr>
      <vt:lpstr>Erg.HBW!_LW05</vt:lpstr>
      <vt:lpstr>VERW__!_LW05</vt:lpstr>
      <vt:lpstr>_LW05</vt:lpstr>
      <vt:lpstr>Erg.HBW!_LW06</vt:lpstr>
      <vt:lpstr>VERW__!_LW06</vt:lpstr>
      <vt:lpstr>_LW06</vt:lpstr>
      <vt:lpstr>Erg.HBW!_LW07</vt:lpstr>
      <vt:lpstr>VERW__!_LW07</vt:lpstr>
      <vt:lpstr>_LW07</vt:lpstr>
      <vt:lpstr>Erg.HBW!_LW08</vt:lpstr>
      <vt:lpstr>VERW__!_LW08</vt:lpstr>
      <vt:lpstr>_LW08</vt:lpstr>
      <vt:lpstr>Erg.HBW!_LW09</vt:lpstr>
      <vt:lpstr>VERW__!_LW09</vt:lpstr>
      <vt:lpstr>_LW09</vt:lpstr>
      <vt:lpstr>Erg.HBW!_LW10</vt:lpstr>
      <vt:lpstr>VERW__!_LW10</vt:lpstr>
      <vt:lpstr>_LW10</vt:lpstr>
      <vt:lpstr>Erg.HBW!_MW10</vt:lpstr>
      <vt:lpstr>VERW__!_MW10</vt:lpstr>
      <vt:lpstr>_MW10</vt:lpstr>
      <vt:lpstr>Erg.HBW!_MW11</vt:lpstr>
      <vt:lpstr>VERW__!_MW11</vt:lpstr>
      <vt:lpstr>_MW11</vt:lpstr>
      <vt:lpstr>Erg.HBW!_NAME</vt:lpstr>
      <vt:lpstr>VERW__!_NAME</vt:lpstr>
      <vt:lpstr>_NAME</vt:lpstr>
      <vt:lpstr>Erg.HBW!_PA01</vt:lpstr>
      <vt:lpstr>VERW__!_PA01</vt:lpstr>
      <vt:lpstr>_PA01</vt:lpstr>
      <vt:lpstr>Erg.HBW!_PB01</vt:lpstr>
      <vt:lpstr>VERW__!_PB01</vt:lpstr>
      <vt:lpstr>_PB01</vt:lpstr>
      <vt:lpstr>Erg.HBW!_PB02</vt:lpstr>
      <vt:lpstr>VERW__!_PB02</vt:lpstr>
      <vt:lpstr>_PB02</vt:lpstr>
      <vt:lpstr>Erg.HBW!_PB03</vt:lpstr>
      <vt:lpstr>VERW__!_PB03</vt:lpstr>
      <vt:lpstr>_PB03</vt:lpstr>
      <vt:lpstr>Erg.HBW!_PB04</vt:lpstr>
      <vt:lpstr>VERW__!_PB04</vt:lpstr>
      <vt:lpstr>_PB04</vt:lpstr>
      <vt:lpstr>Erg.HBW!_PB05</vt:lpstr>
      <vt:lpstr>VERW__!_PB05</vt:lpstr>
      <vt:lpstr>_PB05</vt:lpstr>
      <vt:lpstr>Erg.HBW!_PB06</vt:lpstr>
      <vt:lpstr>VERW__!_PB06</vt:lpstr>
      <vt:lpstr>_PB06</vt:lpstr>
      <vt:lpstr>Erg.HBW!_PB10</vt:lpstr>
      <vt:lpstr>VERW__!_PB10</vt:lpstr>
      <vt:lpstr>_PB10</vt:lpstr>
      <vt:lpstr>Erg.HBW!_PB30</vt:lpstr>
      <vt:lpstr>VERW__!_PB30</vt:lpstr>
      <vt:lpstr>_PB30</vt:lpstr>
      <vt:lpstr>Erg.HBW!_PE01</vt:lpstr>
      <vt:lpstr>VERW__!_PE01</vt:lpstr>
      <vt:lpstr>_PE01</vt:lpstr>
      <vt:lpstr>Erg.HBW!_PE02</vt:lpstr>
      <vt:lpstr>VERW__!_PE02</vt:lpstr>
      <vt:lpstr>_PE02</vt:lpstr>
      <vt:lpstr>Erg.HBW!_PE03</vt:lpstr>
      <vt:lpstr>VERW__!_PE03</vt:lpstr>
      <vt:lpstr>_PE03</vt:lpstr>
      <vt:lpstr>Erg.HBW!_PERS</vt:lpstr>
      <vt:lpstr>VERW__!_PERS</vt:lpstr>
      <vt:lpstr>_PERS</vt:lpstr>
      <vt:lpstr>Erg.HBW!_RA02</vt:lpstr>
      <vt:lpstr>VERW__!_RA02</vt:lpstr>
      <vt:lpstr>_RA02</vt:lpstr>
      <vt:lpstr>Erg.HBW!_RBAU</vt:lpstr>
      <vt:lpstr>VERW__!_RBAU</vt:lpstr>
      <vt:lpstr>_RBAU</vt:lpstr>
      <vt:lpstr>Erg.HBW!_REFO</vt:lpstr>
      <vt:lpstr>VERW__!_REFO</vt:lpstr>
      <vt:lpstr>_REFO</vt:lpstr>
      <vt:lpstr>Erg.HBW!_REGI</vt:lpstr>
      <vt:lpstr>VERW__!_REGI</vt:lpstr>
      <vt:lpstr>_REGI</vt:lpstr>
      <vt:lpstr>Erg.HBW!_REGN</vt:lpstr>
      <vt:lpstr>VERW__!_REGN</vt:lpstr>
      <vt:lpstr>_REGN</vt:lpstr>
      <vt:lpstr>Erg.HBW!_SA01</vt:lpstr>
      <vt:lpstr>VERW__!_SA01</vt:lpstr>
      <vt:lpstr>_SA01</vt:lpstr>
      <vt:lpstr>Erg.HBW!_SA05</vt:lpstr>
      <vt:lpstr>VERW__!_SA05</vt:lpstr>
      <vt:lpstr>_SA05</vt:lpstr>
      <vt:lpstr>Erg.HBW!_SA10</vt:lpstr>
      <vt:lpstr>VERW__!_SA10</vt:lpstr>
      <vt:lpstr>_SA10</vt:lpstr>
      <vt:lpstr>Erg.HBW!_SA11</vt:lpstr>
      <vt:lpstr>VERW__!_SA11</vt:lpstr>
      <vt:lpstr>_SA11</vt:lpstr>
      <vt:lpstr>Erg.HBW!_SE01</vt:lpstr>
      <vt:lpstr>VERW__!_SE01</vt:lpstr>
      <vt:lpstr>_SE01</vt:lpstr>
      <vt:lpstr>Erg.HBW!_SE02</vt:lpstr>
      <vt:lpstr>VERW__!_SE02</vt:lpstr>
      <vt:lpstr>_SE02</vt:lpstr>
      <vt:lpstr>Erg.HBW!_SE03</vt:lpstr>
      <vt:lpstr>VERW__!_SE03</vt:lpstr>
      <vt:lpstr>_SE03</vt:lpstr>
      <vt:lpstr>Erg.HBW!_SE04</vt:lpstr>
      <vt:lpstr>VERW__!_SE04</vt:lpstr>
      <vt:lpstr>_SE04</vt:lpstr>
      <vt:lpstr>Erg.HBW!_SE05</vt:lpstr>
      <vt:lpstr>VERW__!_SE05</vt:lpstr>
      <vt:lpstr>_SE05</vt:lpstr>
      <vt:lpstr>Erg.HBW!_SE07</vt:lpstr>
      <vt:lpstr>VERW__!_SE07</vt:lpstr>
      <vt:lpstr>_SE07</vt:lpstr>
      <vt:lpstr>Erg.HBW!_SE08</vt:lpstr>
      <vt:lpstr>VERW__!_SE08</vt:lpstr>
      <vt:lpstr>_SE08</vt:lpstr>
      <vt:lpstr>Erg.HBW!_SE09</vt:lpstr>
      <vt:lpstr>VERW__!_SE09</vt:lpstr>
      <vt:lpstr>_SE09</vt:lpstr>
      <vt:lpstr>Erg.HBW!_SE10</vt:lpstr>
      <vt:lpstr>VERW__!_SE10</vt:lpstr>
      <vt:lpstr>_SE10</vt:lpstr>
      <vt:lpstr>Erg.HBW!_SE11</vt:lpstr>
      <vt:lpstr>VERW__!_SE11</vt:lpstr>
      <vt:lpstr>_SE11</vt:lpstr>
      <vt:lpstr>Erg.HBW!_SE12</vt:lpstr>
      <vt:lpstr>VERW__!_SE12</vt:lpstr>
      <vt:lpstr>_SE12</vt:lpstr>
      <vt:lpstr>Erg.HBW!_SL10</vt:lpstr>
      <vt:lpstr>VERW__!_SL10</vt:lpstr>
      <vt:lpstr>_SL10</vt:lpstr>
      <vt:lpstr>Erg.HBW!_SL20</vt:lpstr>
      <vt:lpstr>VERW__!_SL20</vt:lpstr>
      <vt:lpstr>_SL20</vt:lpstr>
      <vt:lpstr>Erg.HBW!_SP09</vt:lpstr>
      <vt:lpstr>VERW__!_SP09</vt:lpstr>
      <vt:lpstr>_SP09</vt:lpstr>
      <vt:lpstr>Erg.HBW!_SP10</vt:lpstr>
      <vt:lpstr>VERW__!_SP10</vt:lpstr>
      <vt:lpstr>_SP10</vt:lpstr>
      <vt:lpstr>Erg.HBW!_SP11</vt:lpstr>
      <vt:lpstr>VERW__!_SP11</vt:lpstr>
      <vt:lpstr>_SP11</vt:lpstr>
      <vt:lpstr>_SPAR</vt:lpstr>
      <vt:lpstr>Erg.HBW!_ST10</vt:lpstr>
      <vt:lpstr>VERW__!_ST10</vt:lpstr>
      <vt:lpstr>_ST10</vt:lpstr>
      <vt:lpstr>Erg.HBW!_TAET</vt:lpstr>
      <vt:lpstr>VERW__!_TAET</vt:lpstr>
      <vt:lpstr>_TAET</vt:lpstr>
      <vt:lpstr>Erg.HBW!_TBAU</vt:lpstr>
      <vt:lpstr>VERW__!_TBAU</vt:lpstr>
      <vt:lpstr>_TBAU</vt:lpstr>
      <vt:lpstr>Erg.HBW!_TBAV</vt:lpstr>
      <vt:lpstr>VERW__!_TBAV</vt:lpstr>
      <vt:lpstr>_TBAV</vt:lpstr>
      <vt:lpstr>Erg.HBW!_TEAB</vt:lpstr>
      <vt:lpstr>VERW__!_TEAB</vt:lpstr>
      <vt:lpstr>_TEAB</vt:lpstr>
      <vt:lpstr>Erg.HBW!_TEIL</vt:lpstr>
      <vt:lpstr>VERW__!_TEIL</vt:lpstr>
      <vt:lpstr>_TEIL</vt:lpstr>
      <vt:lpstr>Erg.HBW!_TI10</vt:lpstr>
      <vt:lpstr>VERW__!_TI10</vt:lpstr>
      <vt:lpstr>_TI10</vt:lpstr>
      <vt:lpstr>Erg.HBW!_UE01</vt:lpstr>
      <vt:lpstr>VERW__!_UE01</vt:lpstr>
      <vt:lpstr>_UE01</vt:lpstr>
      <vt:lpstr>Erg.HBW!_UE02</vt:lpstr>
      <vt:lpstr>VERW__!_UE02</vt:lpstr>
      <vt:lpstr>_UE02</vt:lpstr>
      <vt:lpstr>Erg.HBW!_UE03</vt:lpstr>
      <vt:lpstr>VERW__!_UE03</vt:lpstr>
      <vt:lpstr>_UE03</vt:lpstr>
      <vt:lpstr>Erg.HBW!_UE04</vt:lpstr>
      <vt:lpstr>VERW__!_UE04</vt:lpstr>
      <vt:lpstr>_UE04</vt:lpstr>
      <vt:lpstr>Erg.HBW!_UE05</vt:lpstr>
      <vt:lpstr>VERW__!_UE05</vt:lpstr>
      <vt:lpstr>_UE05</vt:lpstr>
      <vt:lpstr>Erg.HBW!_UE06</vt:lpstr>
      <vt:lpstr>VERW__!_UE06</vt:lpstr>
      <vt:lpstr>_UE06</vt:lpstr>
      <vt:lpstr>Erg.HBW!_UE07</vt:lpstr>
      <vt:lpstr>VERW__!_UE07</vt:lpstr>
      <vt:lpstr>_UE07</vt:lpstr>
      <vt:lpstr>Erg.HBW!_UE08</vt:lpstr>
      <vt:lpstr>VERW__!_UE08</vt:lpstr>
      <vt:lpstr>_UE08</vt:lpstr>
      <vt:lpstr>Erg.HBW!_UE10</vt:lpstr>
      <vt:lpstr>VERW__!_UE10</vt:lpstr>
      <vt:lpstr>_UE10</vt:lpstr>
      <vt:lpstr>Erg.HBW!_UE20</vt:lpstr>
      <vt:lpstr>VERW__!_UE20</vt:lpstr>
      <vt:lpstr>_UE20</vt:lpstr>
      <vt:lpstr>Erg.HBW!_UE30</vt:lpstr>
      <vt:lpstr>VERW__!_UE30</vt:lpstr>
      <vt:lpstr>_UE30</vt:lpstr>
      <vt:lpstr>Erg.HBW!_UE40</vt:lpstr>
      <vt:lpstr>VERW__!_UE40</vt:lpstr>
      <vt:lpstr>_UE40</vt:lpstr>
      <vt:lpstr>_UE45</vt:lpstr>
      <vt:lpstr>Erg.HBW!_UE50</vt:lpstr>
      <vt:lpstr>VERW__!_UE50</vt:lpstr>
      <vt:lpstr>_UE50</vt:lpstr>
      <vt:lpstr>Erg.HBW!_UE51</vt:lpstr>
      <vt:lpstr>VERW__!_UE51</vt:lpstr>
      <vt:lpstr>_UE51</vt:lpstr>
      <vt:lpstr>Erg.HBW!_UKZ</vt:lpstr>
      <vt:lpstr>VERW__!_UKZ</vt:lpstr>
      <vt:lpstr>_UKZ</vt:lpstr>
      <vt:lpstr>Erg.HBW!_UV10</vt:lpstr>
      <vt:lpstr>VERW__!_UV10</vt:lpstr>
      <vt:lpstr>_UV10</vt:lpstr>
      <vt:lpstr>Erg.HBW!_UV20</vt:lpstr>
      <vt:lpstr>VERW__!_UV20</vt:lpstr>
      <vt:lpstr>_UV20</vt:lpstr>
      <vt:lpstr>Erg.HBW!_UV23</vt:lpstr>
      <vt:lpstr>VERW__!_UV23</vt:lpstr>
      <vt:lpstr>_UV23</vt:lpstr>
      <vt:lpstr>Erg.HBW!_UV24</vt:lpstr>
      <vt:lpstr>VERW__!_UV24</vt:lpstr>
      <vt:lpstr>_UV24</vt:lpstr>
      <vt:lpstr>Erg.HBW!_UV25</vt:lpstr>
      <vt:lpstr>VERW__!_UV25</vt:lpstr>
      <vt:lpstr>_UV25</vt:lpstr>
      <vt:lpstr>Erg.HBW!_VE01</vt:lpstr>
      <vt:lpstr>VERW__!_VE01</vt:lpstr>
      <vt:lpstr>_VE01</vt:lpstr>
      <vt:lpstr>Erg.HBW!_VE02</vt:lpstr>
      <vt:lpstr>VERW__!_VE02</vt:lpstr>
      <vt:lpstr>_VE02</vt:lpstr>
      <vt:lpstr>Erg.HBW!_VE03</vt:lpstr>
      <vt:lpstr>VERW__!_VE03</vt:lpstr>
      <vt:lpstr>_VE03</vt:lpstr>
      <vt:lpstr>Erg.HBW!_VE04</vt:lpstr>
      <vt:lpstr>VERW__!_VE04</vt:lpstr>
      <vt:lpstr>_VE04</vt:lpstr>
      <vt:lpstr>Erg.HBW!_VERB</vt:lpstr>
      <vt:lpstr>VERW__!_VERB</vt:lpstr>
      <vt:lpstr>_VERB</vt:lpstr>
      <vt:lpstr>Erg.HBW!_VERK01</vt:lpstr>
      <vt:lpstr>VERW__!_VERK01</vt:lpstr>
      <vt:lpstr>_VERK01</vt:lpstr>
      <vt:lpstr>Erg.HBW!_VERK02</vt:lpstr>
      <vt:lpstr>VERW__!_VERK02</vt:lpstr>
      <vt:lpstr>_VERK02</vt:lpstr>
      <vt:lpstr>Erg.HBW!_VERK03</vt:lpstr>
      <vt:lpstr>VERW__!_VERK03</vt:lpstr>
      <vt:lpstr>_VERK03</vt:lpstr>
      <vt:lpstr>Erg.HBW!_VERK04</vt:lpstr>
      <vt:lpstr>VERW__!_VERK04</vt:lpstr>
      <vt:lpstr>_VERK04</vt:lpstr>
      <vt:lpstr>Erg.HBW!_WAEH</vt:lpstr>
      <vt:lpstr>VERW__!_WAEH</vt:lpstr>
      <vt:lpstr>_WAEH</vt:lpstr>
      <vt:lpstr>Erg.HBW!_XX05</vt:lpstr>
      <vt:lpstr>VERW__!_XX05</vt:lpstr>
      <vt:lpstr>_XX05</vt:lpstr>
      <vt:lpstr>Erg.HBW!_XX06</vt:lpstr>
      <vt:lpstr>VERW__!_XX06</vt:lpstr>
      <vt:lpstr>_XX06</vt:lpstr>
      <vt:lpstr>Erg.HBW!_XX07</vt:lpstr>
      <vt:lpstr>VERW__!_XX07</vt:lpstr>
      <vt:lpstr>_XX07</vt:lpstr>
      <vt:lpstr>Erg.HBW!_XX08</vt:lpstr>
      <vt:lpstr>VERW__!_XX08</vt:lpstr>
      <vt:lpstr>_XX08</vt:lpstr>
      <vt:lpstr>Erg.HBW!_XX09</vt:lpstr>
      <vt:lpstr>VERW__!_XX09</vt:lpstr>
      <vt:lpstr>_XX09</vt:lpstr>
      <vt:lpstr>Erg.HBW!_XX10</vt:lpstr>
      <vt:lpstr>VERW__!_XX10</vt:lpstr>
      <vt:lpstr>_XX10</vt:lpstr>
      <vt:lpstr>Erg.HBW!_XX11</vt:lpstr>
      <vt:lpstr>VERW__!_XX11</vt:lpstr>
      <vt:lpstr>_XX11</vt:lpstr>
      <vt:lpstr>Erg.HBW!_XX12</vt:lpstr>
      <vt:lpstr>VERW__!_XX12</vt:lpstr>
      <vt:lpstr>_XX12</vt:lpstr>
      <vt:lpstr>Erg.HBW!_XX13</vt:lpstr>
      <vt:lpstr>VERW__!_XX13</vt:lpstr>
      <vt:lpstr>_XX13</vt:lpstr>
      <vt:lpstr>Erg.HBW!_XX14</vt:lpstr>
      <vt:lpstr>VERW__!_XX14</vt:lpstr>
      <vt:lpstr>_XX14</vt:lpstr>
      <vt:lpstr>Erg.HBW!_XX15</vt:lpstr>
      <vt:lpstr>VERW__!_XX15</vt:lpstr>
      <vt:lpstr>_XX15</vt:lpstr>
      <vt:lpstr>Erg.HBW!_XX16</vt:lpstr>
      <vt:lpstr>VERW__!_XX16</vt:lpstr>
      <vt:lpstr>_XX16</vt:lpstr>
      <vt:lpstr>Erg.HBW!_XX17</vt:lpstr>
      <vt:lpstr>VERW__!_XX17</vt:lpstr>
      <vt:lpstr>_XX17</vt:lpstr>
      <vt:lpstr>Erg.HBW!_XX18</vt:lpstr>
      <vt:lpstr>VERW__!_XX18</vt:lpstr>
      <vt:lpstr>_XX18</vt:lpstr>
      <vt:lpstr>Erg.HBW!_XX19</vt:lpstr>
      <vt:lpstr>VERW__!_XX19</vt:lpstr>
      <vt:lpstr>_XX19</vt:lpstr>
      <vt:lpstr>Erg.HBW!_XX20</vt:lpstr>
      <vt:lpstr>VERW__!_XX20</vt:lpstr>
      <vt:lpstr>_XX20</vt:lpstr>
      <vt:lpstr>Erg.HBW!_XX21</vt:lpstr>
      <vt:lpstr>VERW__!_XX21</vt:lpstr>
      <vt:lpstr>_XX21</vt:lpstr>
      <vt:lpstr>Erg.HBW!_XX22</vt:lpstr>
      <vt:lpstr>VERW__!_XX22</vt:lpstr>
      <vt:lpstr>_XX22</vt:lpstr>
      <vt:lpstr>Erg.HBW!_XX23</vt:lpstr>
      <vt:lpstr>VERW__!_XX23</vt:lpstr>
      <vt:lpstr>_XX23</vt:lpstr>
      <vt:lpstr>Erg.HBW!_XX24</vt:lpstr>
      <vt:lpstr>VERW__!_XX24</vt:lpstr>
      <vt:lpstr>_XX24</vt:lpstr>
      <vt:lpstr>Erg.HBW!_XX25</vt:lpstr>
      <vt:lpstr>VERW__!_XX25</vt:lpstr>
      <vt:lpstr>_XX25</vt:lpstr>
      <vt:lpstr>Erg.HBW!_XX26</vt:lpstr>
      <vt:lpstr>VERW__!_XX26</vt:lpstr>
      <vt:lpstr>_XX26</vt:lpstr>
      <vt:lpstr>Erg.HBW!_XX27</vt:lpstr>
      <vt:lpstr>VERW__!_XX27</vt:lpstr>
      <vt:lpstr>_XX27</vt:lpstr>
      <vt:lpstr>Erg.HBW!_XX28</vt:lpstr>
      <vt:lpstr>VERW__!_XX28</vt:lpstr>
      <vt:lpstr>_XX28</vt:lpstr>
      <vt:lpstr>Erg.HBW!_XX29</vt:lpstr>
      <vt:lpstr>VERW__!_XX29</vt:lpstr>
      <vt:lpstr>_XX29</vt:lpstr>
      <vt:lpstr>Erg.HBW!_XX30</vt:lpstr>
      <vt:lpstr>VERW__!_XX30</vt:lpstr>
      <vt:lpstr>_XX30</vt:lpstr>
      <vt:lpstr>Erg.HBW!_XX31</vt:lpstr>
      <vt:lpstr>VERW__!_XX31</vt:lpstr>
      <vt:lpstr>_XX31</vt:lpstr>
      <vt:lpstr>Erg.HBW!_XX32</vt:lpstr>
      <vt:lpstr>VERW__!_XX32</vt:lpstr>
      <vt:lpstr>_XX32</vt:lpstr>
      <vt:lpstr>Erg.HBW!_XX33</vt:lpstr>
      <vt:lpstr>VERW__!_XX33</vt:lpstr>
      <vt:lpstr>_XX33</vt:lpstr>
      <vt:lpstr>Erg.HBW!_XX34</vt:lpstr>
      <vt:lpstr>VERW__!_XX34</vt:lpstr>
      <vt:lpstr>_XX34</vt:lpstr>
      <vt:lpstr>Erg.HBW!_XX35</vt:lpstr>
      <vt:lpstr>VERW__!_XX35</vt:lpstr>
      <vt:lpstr>_XX35</vt:lpstr>
      <vt:lpstr>Erg.HBW!_XX40</vt:lpstr>
      <vt:lpstr>VERW__!_XX40</vt:lpstr>
      <vt:lpstr>_XX40</vt:lpstr>
      <vt:lpstr>Erg.HBW!_XX41</vt:lpstr>
      <vt:lpstr>VERW__!_XX41</vt:lpstr>
      <vt:lpstr>_XX41</vt:lpstr>
      <vt:lpstr>Erg.HBW!_XX43</vt:lpstr>
      <vt:lpstr>VERW__!_XX43</vt:lpstr>
      <vt:lpstr>_XX43</vt:lpstr>
      <vt:lpstr>Erg.HBW!_XX44</vt:lpstr>
      <vt:lpstr>VERW__!_XX44</vt:lpstr>
      <vt:lpstr>_XX44</vt:lpstr>
      <vt:lpstr>Erg.HBW!_XX45</vt:lpstr>
      <vt:lpstr>VERW__!_XX45</vt:lpstr>
      <vt:lpstr>_XX45</vt:lpstr>
      <vt:lpstr>Erg.HBW!_XX46</vt:lpstr>
      <vt:lpstr>VERW__!_XX46</vt:lpstr>
      <vt:lpstr>_XX46</vt:lpstr>
      <vt:lpstr>Erg.HBW!_XX47</vt:lpstr>
      <vt:lpstr>VERW__!_XX47</vt:lpstr>
      <vt:lpstr>_XX47</vt:lpstr>
      <vt:lpstr>Erg.HBW!_XX48</vt:lpstr>
      <vt:lpstr>VERW__!_XX48</vt:lpstr>
      <vt:lpstr>_XX48</vt:lpstr>
      <vt:lpstr>Erg.HBW!_XX49</vt:lpstr>
      <vt:lpstr>VERW__!_XX49</vt:lpstr>
      <vt:lpstr>_XX49</vt:lpstr>
      <vt:lpstr>Erg.HBW!_XX50</vt:lpstr>
      <vt:lpstr>VERW__!_XX50</vt:lpstr>
      <vt:lpstr>_XX50</vt:lpstr>
      <vt:lpstr>Erg.HBW!_XX60</vt:lpstr>
      <vt:lpstr>VERW__!_XX60</vt:lpstr>
      <vt:lpstr>_XX60</vt:lpstr>
      <vt:lpstr>_Z02</vt:lpstr>
      <vt:lpstr>_Z03</vt:lpstr>
      <vt:lpstr>_Z04</vt:lpstr>
      <vt:lpstr>_Z05</vt:lpstr>
      <vt:lpstr>_Z06</vt:lpstr>
      <vt:lpstr>_Z07</vt:lpstr>
      <vt:lpstr>_Z08</vt:lpstr>
      <vt:lpstr>_Z09</vt:lpstr>
      <vt:lpstr>_Z10</vt:lpstr>
      <vt:lpstr>_Z11</vt:lpstr>
      <vt:lpstr>_Z12</vt:lpstr>
      <vt:lpstr>_Z13</vt:lpstr>
      <vt:lpstr>_Z14</vt:lpstr>
      <vt:lpstr>_Z15</vt:lpstr>
      <vt:lpstr>_Z15A</vt:lpstr>
      <vt:lpstr>_Z16</vt:lpstr>
      <vt:lpstr>Erg.HBW!_Z17</vt:lpstr>
      <vt:lpstr>VERW__!_Z17</vt:lpstr>
      <vt:lpstr>_Z17</vt:lpstr>
      <vt:lpstr>Erg.HBW!_Z18</vt:lpstr>
      <vt:lpstr>VERW__!_Z18</vt:lpstr>
      <vt:lpstr>_Z18</vt:lpstr>
      <vt:lpstr>_Z18A</vt:lpstr>
      <vt:lpstr>_Z18B</vt:lpstr>
      <vt:lpstr>_Z19</vt:lpstr>
      <vt:lpstr>_Z20</vt:lpstr>
      <vt:lpstr>_Z21</vt:lpstr>
      <vt:lpstr>_Z22</vt:lpstr>
      <vt:lpstr>Erg.HBW!_Z23</vt:lpstr>
      <vt:lpstr>VERW__!_Z23</vt:lpstr>
      <vt:lpstr>_Z23</vt:lpstr>
      <vt:lpstr>_Z24</vt:lpstr>
      <vt:lpstr>_Z25</vt:lpstr>
      <vt:lpstr>_Z26</vt:lpstr>
      <vt:lpstr>Erg.HBW!_ZA01</vt:lpstr>
      <vt:lpstr>VERW__!_ZA01</vt:lpstr>
      <vt:lpstr>_ZA01</vt:lpstr>
      <vt:lpstr>Erg.HBW!_ZA02</vt:lpstr>
      <vt:lpstr>VERW__!_ZA02</vt:lpstr>
      <vt:lpstr>_ZA02</vt:lpstr>
      <vt:lpstr>Erg.HBW!_ZA03</vt:lpstr>
      <vt:lpstr>VERW__!_ZA03</vt:lpstr>
      <vt:lpstr>_ZA03</vt:lpstr>
      <vt:lpstr>Erg.HBW!_ZA04</vt:lpstr>
      <vt:lpstr>VERW__!_ZA04</vt:lpstr>
      <vt:lpstr>_ZA04</vt:lpstr>
      <vt:lpstr>Erg.HBW!_ZA05</vt:lpstr>
      <vt:lpstr>VERW__!_ZA05</vt:lpstr>
      <vt:lpstr>_ZA05</vt:lpstr>
      <vt:lpstr>_ZA06</vt:lpstr>
      <vt:lpstr>Erg.HBW!_ZA10</vt:lpstr>
      <vt:lpstr>VERW__!_ZA10</vt:lpstr>
      <vt:lpstr>_ZA10</vt:lpstr>
      <vt:lpstr>Erg.HBW!_ZE10</vt:lpstr>
      <vt:lpstr>VERW__!_ZE10</vt:lpstr>
      <vt:lpstr>_ZE10</vt:lpstr>
      <vt:lpstr>Erg.HBW!_ZH10</vt:lpstr>
      <vt:lpstr>VERW__!_ZH10</vt:lpstr>
      <vt:lpstr>_ZH10</vt:lpstr>
      <vt:lpstr>Erg.HBW!_ZS10</vt:lpstr>
      <vt:lpstr>VERW__!_ZS10</vt:lpstr>
      <vt:lpstr>_ZS10</vt:lpstr>
      <vt:lpstr>Erg.HBW!_ZW10</vt:lpstr>
      <vt:lpstr>VERW__!_ZW10</vt:lpstr>
      <vt:lpstr>_ZW10</vt:lpstr>
      <vt:lpstr>BILF</vt:lpstr>
      <vt:lpstr>Erg.HBW!CsKz01</vt:lpstr>
      <vt:lpstr>VERW__!CsKz01</vt:lpstr>
      <vt:lpstr>CsKz01</vt:lpstr>
      <vt:lpstr>Handbuch!Druckbereich</vt:lpstr>
      <vt:lpstr>Kennzahlen!Druckbereich</vt:lpstr>
      <vt:lpstr>Kontrolle!Druckbereich</vt:lpstr>
      <vt:lpstr>'Management Summary'!Druckbereich</vt:lpstr>
      <vt:lpstr>'Teil AGW'!Druckbereich</vt:lpstr>
      <vt:lpstr>'Teil I - S.1 '!Druckbereich</vt:lpstr>
      <vt:lpstr>'Teil I - S.2'!Druckbereich</vt:lpstr>
      <vt:lpstr>'Teil I - S.3'!Druckbereich</vt:lpstr>
      <vt:lpstr>'Teil I - S.4'!Druckbereich</vt:lpstr>
      <vt:lpstr>'Teil I - S.5'!Druckbereich</vt:lpstr>
      <vt:lpstr>'Teil I - S.6'!Druckbereich</vt:lpstr>
      <vt:lpstr>'Teil I - S.7'!Druckbereich</vt:lpstr>
      <vt:lpstr>'Teil I - S.8'!Druckbereich</vt:lpstr>
      <vt:lpstr>'Teil I - S.9'!Druckbereich</vt:lpstr>
      <vt:lpstr>'Teil II'!Druckbereich</vt:lpstr>
      <vt:lpstr>Handbuch!Drucktitel</vt:lpstr>
      <vt:lpstr>Kennzahlen!Drucktitel</vt:lpstr>
    </vt:vector>
  </TitlesOfParts>
  <Company>vdw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Richardt, Iris (vtw)</cp:lastModifiedBy>
  <cp:lastPrinted>2019-08-28T09:47:13Z</cp:lastPrinted>
  <dcterms:created xsi:type="dcterms:W3CDTF">2000-04-28T08:22:14Z</dcterms:created>
  <dcterms:modified xsi:type="dcterms:W3CDTF">2023-06-22T08:58:09Z</dcterms:modified>
</cp:coreProperties>
</file>