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Z:\Finanzen\Controlling-Reporting\wirtschaftliche Bewertung\Ertragswertberechnung Verband\"/>
    </mc:Choice>
  </mc:AlternateContent>
  <bookViews>
    <workbookView xWindow="-19305" yWindow="-105" windowWidth="19425" windowHeight="10425" activeTab="1"/>
  </bookViews>
  <sheets>
    <sheet name="1 | Eingabe der Objektdaten" sheetId="1" r:id="rId1"/>
    <sheet name="2 | Ermittlung Liegenschatfsz." sheetId="7" r:id="rId2"/>
    <sheet name="3 | Ermittlung des Ertragswerts" sheetId="3" r:id="rId3"/>
    <sheet name="4 | Ermittlung der Sachwerte" sheetId="6" r:id="rId4"/>
    <sheet name="5 | Buchungsvorschlag" sheetId="5" r:id="rId5"/>
  </sheets>
  <definedNames>
    <definedName name="_xlnm.Print_Area" localSheetId="0">'1 | Eingabe der Objektdaten'!$A$1:$I$120</definedName>
    <definedName name="_xlnm.Print_Area" localSheetId="1">'2 | Ermittlung Liegenschatfsz.'!$A$1:$H$93</definedName>
    <definedName name="_xlnm.Print_Area" localSheetId="2">'3 | Ermittlung des Ertragswerts'!$A$1:$M$90</definedName>
    <definedName name="_xlnm.Print_Area" localSheetId="4">'5 | Buchungsvorschlag'!$A$1:$H$63</definedName>
    <definedName name="_xlnm.Print_Titles" localSheetId="0">'1 | Eingabe der Objektdaten'!$38:$40</definedName>
    <definedName name="_xlnm.Print_Titles" localSheetId="2">'3 | Ermittlung des Ertragswerts'!$7:$9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7" l="1"/>
  <c r="B4" i="7"/>
  <c r="B3" i="7"/>
  <c r="E84" i="7"/>
  <c r="F84" i="7" s="1"/>
  <c r="F78" i="7"/>
  <c r="G78" i="7" s="1"/>
  <c r="G72" i="7"/>
  <c r="F67" i="7"/>
  <c r="G67" i="7" s="1"/>
  <c r="F66" i="7"/>
  <c r="G66" i="7" s="1"/>
  <c r="I65" i="7"/>
  <c r="F65" i="7"/>
  <c r="G65" i="7" s="1"/>
  <c r="F63" i="7"/>
  <c r="G63" i="7" s="1"/>
  <c r="F62" i="7"/>
  <c r="G62" i="7" s="1"/>
  <c r="I61" i="7"/>
  <c r="F61" i="7"/>
  <c r="G61" i="7" s="1"/>
  <c r="F59" i="7"/>
  <c r="G59" i="7" s="1"/>
  <c r="I58" i="7"/>
  <c r="F58" i="7"/>
  <c r="G58" i="7" s="1"/>
  <c r="F56" i="7"/>
  <c r="G56" i="7" s="1"/>
  <c r="F55" i="7"/>
  <c r="G55" i="7" s="1"/>
  <c r="I54" i="7"/>
  <c r="F54" i="7"/>
  <c r="G54" i="7" s="1"/>
  <c r="F52" i="7"/>
  <c r="G52" i="7" s="1"/>
  <c r="I51" i="7"/>
  <c r="F51" i="7"/>
  <c r="G51" i="7" s="1"/>
  <c r="F49" i="7"/>
  <c r="G49" i="7" s="1"/>
  <c r="F48" i="7"/>
  <c r="G48" i="7" s="1"/>
  <c r="I47" i="7"/>
  <c r="F47" i="7"/>
  <c r="G47" i="7" s="1"/>
  <c r="F45" i="7"/>
  <c r="G45" i="7" s="1"/>
  <c r="G44" i="7"/>
  <c r="F44" i="7"/>
  <c r="I43" i="7"/>
  <c r="F43" i="7"/>
  <c r="G43" i="7" s="1"/>
  <c r="G38" i="7"/>
  <c r="F38" i="7"/>
  <c r="F37" i="7"/>
  <c r="G37" i="7" s="1"/>
  <c r="I36" i="7"/>
  <c r="G36" i="7"/>
  <c r="F36" i="7"/>
  <c r="F40" i="7" s="1"/>
  <c r="G34" i="7"/>
  <c r="F34" i="7"/>
  <c r="F33" i="7"/>
  <c r="G33" i="7" s="1"/>
  <c r="I32" i="7"/>
  <c r="G32" i="7"/>
  <c r="F32" i="7"/>
  <c r="F30" i="7"/>
  <c r="G30" i="7" s="1"/>
  <c r="F29" i="7"/>
  <c r="G29" i="7" s="1"/>
  <c r="I28" i="7"/>
  <c r="G28" i="7"/>
  <c r="F28" i="7"/>
  <c r="F26" i="7"/>
  <c r="G26" i="7" s="1"/>
  <c r="F25" i="7"/>
  <c r="G25" i="7" s="1"/>
  <c r="I24" i="7"/>
  <c r="F24" i="7"/>
  <c r="G24" i="7" s="1"/>
  <c r="F23" i="7"/>
  <c r="F22" i="7"/>
  <c r="G22" i="7" s="1"/>
  <c r="G21" i="7"/>
  <c r="F21" i="7"/>
  <c r="I20" i="7"/>
  <c r="F20" i="7"/>
  <c r="G20" i="7" s="1"/>
  <c r="G18" i="7"/>
  <c r="F18" i="7"/>
  <c r="F17" i="7"/>
  <c r="G17" i="7" s="1"/>
  <c r="I16" i="7"/>
  <c r="F16" i="7"/>
  <c r="G16" i="7" s="1"/>
  <c r="F41" i="7" l="1"/>
  <c r="G40" i="7"/>
  <c r="F69" i="7"/>
  <c r="H50" i="3"/>
  <c r="F70" i="7" l="1"/>
  <c r="G69" i="7"/>
  <c r="E80" i="7"/>
  <c r="G41" i="7"/>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49" i="3"/>
  <c r="H48" i="3"/>
  <c r="H47" i="3"/>
  <c r="H46" i="3"/>
  <c r="H45" i="3"/>
  <c r="H44" i="3"/>
  <c r="H43" i="3"/>
  <c r="H42" i="3"/>
  <c r="H41" i="3"/>
  <c r="H40" i="3"/>
  <c r="F80" i="7" l="1"/>
  <c r="G70" i="7"/>
  <c r="E82" i="7"/>
  <c r="F82" i="7" s="1"/>
  <c r="B27" i="6"/>
  <c r="E86" i="7" l="1"/>
  <c r="F91" i="7"/>
  <c r="E88" i="7"/>
  <c r="F86" i="7"/>
  <c r="B5" i="5"/>
  <c r="A5" i="5"/>
  <c r="A4" i="5"/>
  <c r="A3" i="5"/>
  <c r="D3" i="3"/>
  <c r="D1" i="3"/>
  <c r="C3" i="3"/>
  <c r="C1" i="3"/>
  <c r="C5" i="6"/>
  <c r="C4" i="6"/>
  <c r="C3" i="6"/>
  <c r="B5" i="6"/>
  <c r="B4" i="6"/>
  <c r="B3" i="6"/>
  <c r="H21" i="6"/>
  <c r="C23" i="6"/>
  <c r="C21" i="6"/>
  <c r="F93" i="7" l="1"/>
  <c r="G91" i="7"/>
  <c r="H12" i="6"/>
  <c r="H10" i="6"/>
  <c r="C10" i="6"/>
  <c r="C12" i="6"/>
  <c r="G93" i="7" l="1"/>
  <c r="D5" i="3"/>
  <c r="G10" i="3"/>
  <c r="H36" i="3" l="1"/>
  <c r="H37" i="3"/>
  <c r="H39" i="3"/>
  <c r="H38" i="3"/>
  <c r="A41" i="1"/>
  <c r="F23" i="1"/>
  <c r="H35" i="3" l="1"/>
  <c r="H34" i="3"/>
  <c r="H33" i="3"/>
  <c r="H32" i="3"/>
  <c r="H31" i="3"/>
  <c r="H30" i="3"/>
  <c r="H29" i="3"/>
  <c r="H28" i="3"/>
  <c r="H27" i="3"/>
  <c r="H26" i="3"/>
  <c r="H25" i="3"/>
  <c r="H24" i="3"/>
  <c r="H23" i="3"/>
  <c r="H22" i="3"/>
  <c r="H21" i="3"/>
  <c r="H20" i="3"/>
  <c r="H19" i="3"/>
  <c r="H18" i="3"/>
  <c r="H17" i="3"/>
  <c r="H16" i="3"/>
  <c r="H15" i="3"/>
  <c r="H14" i="3"/>
  <c r="H13" i="3"/>
  <c r="H12" i="3"/>
  <c r="H11" i="3"/>
  <c r="H10" i="3"/>
  <c r="F39" i="5" l="1"/>
  <c r="F24" i="5"/>
  <c r="F18" i="1" l="1"/>
  <c r="I21" i="6"/>
  <c r="D23" i="6" l="1"/>
  <c r="D21" i="6"/>
  <c r="I12" i="6"/>
  <c r="B3" i="5" l="1"/>
  <c r="F38" i="5"/>
  <c r="F40" i="5" l="1"/>
  <c r="F43" i="5" s="1"/>
  <c r="D90" i="3"/>
  <c r="G89" i="3"/>
  <c r="F89" i="3"/>
  <c r="E89" i="3"/>
  <c r="B89" i="3"/>
  <c r="G88" i="3"/>
  <c r="F88" i="3"/>
  <c r="E88" i="3"/>
  <c r="B88" i="3"/>
  <c r="C88" i="3" s="1"/>
  <c r="G87" i="3"/>
  <c r="F87" i="3"/>
  <c r="E87" i="3"/>
  <c r="B87" i="3"/>
  <c r="G86" i="3"/>
  <c r="F86" i="3"/>
  <c r="E86" i="3"/>
  <c r="B86" i="3"/>
  <c r="C86" i="3" s="1"/>
  <c r="G85" i="3"/>
  <c r="F85" i="3"/>
  <c r="E85" i="3"/>
  <c r="B85" i="3"/>
  <c r="G84" i="3"/>
  <c r="F84" i="3"/>
  <c r="E84" i="3"/>
  <c r="B84" i="3"/>
  <c r="C84" i="3" s="1"/>
  <c r="G83" i="3"/>
  <c r="F83" i="3"/>
  <c r="E83" i="3"/>
  <c r="B83" i="3"/>
  <c r="G82" i="3"/>
  <c r="F82" i="3"/>
  <c r="E82" i="3"/>
  <c r="B82" i="3"/>
  <c r="C82" i="3" s="1"/>
  <c r="G81" i="3"/>
  <c r="F81" i="3"/>
  <c r="E81" i="3"/>
  <c r="B81" i="3"/>
  <c r="G80" i="3"/>
  <c r="F80" i="3"/>
  <c r="E80" i="3"/>
  <c r="B80" i="3"/>
  <c r="C80" i="3" s="1"/>
  <c r="G79" i="3"/>
  <c r="F79" i="3"/>
  <c r="E79" i="3"/>
  <c r="B79" i="3"/>
  <c r="G78" i="3"/>
  <c r="F78" i="3"/>
  <c r="E78" i="3"/>
  <c r="B78" i="3"/>
  <c r="C78" i="3" s="1"/>
  <c r="G77" i="3"/>
  <c r="F77" i="3"/>
  <c r="E77" i="3"/>
  <c r="B77" i="3"/>
  <c r="C77" i="3" s="1"/>
  <c r="G76" i="3"/>
  <c r="F76" i="3"/>
  <c r="E76" i="3"/>
  <c r="B76" i="3"/>
  <c r="G75" i="3"/>
  <c r="F75" i="3"/>
  <c r="E75" i="3"/>
  <c r="B75" i="3"/>
  <c r="C75" i="3" s="1"/>
  <c r="G74" i="3"/>
  <c r="F74" i="3"/>
  <c r="E74" i="3"/>
  <c r="B74" i="3"/>
  <c r="G73" i="3"/>
  <c r="F73" i="3"/>
  <c r="E73" i="3"/>
  <c r="B73" i="3"/>
  <c r="C73" i="3" s="1"/>
  <c r="G72" i="3"/>
  <c r="F72" i="3"/>
  <c r="E72" i="3"/>
  <c r="B72" i="3"/>
  <c r="G71" i="3"/>
  <c r="F71" i="3"/>
  <c r="E71" i="3"/>
  <c r="B71" i="3"/>
  <c r="C71" i="3" s="1"/>
  <c r="G70" i="3"/>
  <c r="F70" i="3"/>
  <c r="E70" i="3"/>
  <c r="B70" i="3"/>
  <c r="G69" i="3"/>
  <c r="F69" i="3"/>
  <c r="E69" i="3"/>
  <c r="B69" i="3"/>
  <c r="C69" i="3" s="1"/>
  <c r="G68" i="3"/>
  <c r="F68" i="3"/>
  <c r="E68" i="3"/>
  <c r="B68" i="3"/>
  <c r="G67" i="3"/>
  <c r="F67" i="3"/>
  <c r="E67" i="3"/>
  <c r="B67" i="3"/>
  <c r="C67" i="3" s="1"/>
  <c r="G66" i="3"/>
  <c r="F66" i="3"/>
  <c r="E66" i="3"/>
  <c r="B66" i="3"/>
  <c r="G65" i="3"/>
  <c r="F65" i="3"/>
  <c r="E65" i="3"/>
  <c r="B65" i="3"/>
  <c r="C65" i="3" s="1"/>
  <c r="G64" i="3"/>
  <c r="F64" i="3"/>
  <c r="E64" i="3"/>
  <c r="B64" i="3"/>
  <c r="G63" i="3"/>
  <c r="F63" i="3"/>
  <c r="E63" i="3"/>
  <c r="B63" i="3"/>
  <c r="C63" i="3" s="1"/>
  <c r="G62" i="3"/>
  <c r="F62" i="3"/>
  <c r="E62" i="3"/>
  <c r="B62" i="3"/>
  <c r="G61" i="3"/>
  <c r="F61" i="3"/>
  <c r="E61" i="3"/>
  <c r="B61" i="3"/>
  <c r="C61" i="3" s="1"/>
  <c r="G60" i="3"/>
  <c r="F60" i="3"/>
  <c r="E60" i="3"/>
  <c r="B60" i="3"/>
  <c r="G59" i="3"/>
  <c r="F59" i="3"/>
  <c r="E59" i="3"/>
  <c r="B59" i="3"/>
  <c r="C59" i="3" s="1"/>
  <c r="G58" i="3"/>
  <c r="F58" i="3"/>
  <c r="E58" i="3"/>
  <c r="B58" i="3"/>
  <c r="G57" i="3"/>
  <c r="F57" i="3"/>
  <c r="E57" i="3"/>
  <c r="B57" i="3"/>
  <c r="C57" i="3" s="1"/>
  <c r="G56" i="3"/>
  <c r="F56" i="3"/>
  <c r="E56" i="3"/>
  <c r="B56" i="3"/>
  <c r="G55" i="3"/>
  <c r="F55" i="3"/>
  <c r="E55" i="3"/>
  <c r="B55" i="3"/>
  <c r="C55" i="3" s="1"/>
  <c r="G54" i="3"/>
  <c r="F54" i="3"/>
  <c r="E54" i="3"/>
  <c r="B54" i="3"/>
  <c r="C54" i="3" s="1"/>
  <c r="G53" i="3"/>
  <c r="F53" i="3"/>
  <c r="E53" i="3"/>
  <c r="B53" i="3"/>
  <c r="C53" i="3" s="1"/>
  <c r="C81" i="3" l="1"/>
  <c r="C85" i="3"/>
  <c r="C89" i="3"/>
  <c r="C79" i="3"/>
  <c r="C83" i="3"/>
  <c r="C87" i="3"/>
  <c r="C70" i="3"/>
  <c r="C76" i="3"/>
  <c r="C58" i="3"/>
  <c r="C66" i="3"/>
  <c r="C56" i="3"/>
  <c r="C64" i="3"/>
  <c r="C72" i="3"/>
  <c r="C62" i="3"/>
  <c r="C60" i="3"/>
  <c r="C68" i="3"/>
  <c r="C74" i="3"/>
  <c r="I23" i="6" l="1"/>
  <c r="I25" i="6"/>
  <c r="B32" i="6" s="1"/>
  <c r="F32" i="6" s="1"/>
  <c r="B46" i="6" s="1"/>
  <c r="F46" i="6" s="1"/>
  <c r="D25" i="6"/>
  <c r="I10" i="6"/>
  <c r="D12" i="6"/>
  <c r="D10" i="6"/>
  <c r="H14" i="6" s="1"/>
  <c r="F52" i="6"/>
  <c r="B4" i="5"/>
  <c r="B31" i="3"/>
  <c r="C31" i="3" s="1"/>
  <c r="E31" i="3"/>
  <c r="F31" i="3"/>
  <c r="G31" i="3"/>
  <c r="B32" i="3"/>
  <c r="C32" i="3" s="1"/>
  <c r="E32" i="3"/>
  <c r="F32" i="3"/>
  <c r="G32" i="3"/>
  <c r="B33" i="3"/>
  <c r="C33" i="3" s="1"/>
  <c r="E33" i="3"/>
  <c r="F33" i="3"/>
  <c r="G33" i="3"/>
  <c r="B34" i="3"/>
  <c r="E34" i="3"/>
  <c r="F34" i="3"/>
  <c r="G34" i="3"/>
  <c r="B35" i="3"/>
  <c r="C35" i="3" s="1"/>
  <c r="E35" i="3"/>
  <c r="F35" i="3"/>
  <c r="G35" i="3"/>
  <c r="K10" i="3"/>
  <c r="F23" i="5"/>
  <c r="B10" i="3"/>
  <c r="E10" i="3"/>
  <c r="F10" i="3"/>
  <c r="B11" i="3"/>
  <c r="E11" i="3"/>
  <c r="F11" i="3"/>
  <c r="G11" i="3"/>
  <c r="J11" i="3"/>
  <c r="K11" i="3" s="1"/>
  <c r="B12" i="3"/>
  <c r="E12" i="3"/>
  <c r="F12" i="3"/>
  <c r="G12" i="3"/>
  <c r="B13" i="3"/>
  <c r="C13" i="3" s="1"/>
  <c r="E13" i="3"/>
  <c r="F13" i="3"/>
  <c r="G13" i="3"/>
  <c r="B14" i="3"/>
  <c r="C14" i="3" s="1"/>
  <c r="E14" i="3"/>
  <c r="F14" i="3"/>
  <c r="G14" i="3"/>
  <c r="B15" i="3"/>
  <c r="C15" i="3" s="1"/>
  <c r="E15" i="3"/>
  <c r="F15" i="3"/>
  <c r="G15" i="3"/>
  <c r="B16" i="3"/>
  <c r="C16" i="3" s="1"/>
  <c r="E16" i="3"/>
  <c r="F16" i="3"/>
  <c r="G16" i="3"/>
  <c r="B17" i="3"/>
  <c r="C17" i="3" s="1"/>
  <c r="E17" i="3"/>
  <c r="F17" i="3"/>
  <c r="G17" i="3"/>
  <c r="B18" i="3"/>
  <c r="C18" i="3" s="1"/>
  <c r="E18" i="3"/>
  <c r="F18" i="3"/>
  <c r="G18" i="3"/>
  <c r="B19" i="3"/>
  <c r="C19" i="3" s="1"/>
  <c r="E19" i="3"/>
  <c r="F19" i="3"/>
  <c r="G19" i="3"/>
  <c r="B20" i="3"/>
  <c r="C20" i="3" s="1"/>
  <c r="E20" i="3"/>
  <c r="F20" i="3"/>
  <c r="G20" i="3"/>
  <c r="B21" i="3"/>
  <c r="C21" i="3" s="1"/>
  <c r="E21" i="3"/>
  <c r="F21" i="3"/>
  <c r="G21" i="3"/>
  <c r="B22" i="3"/>
  <c r="C22" i="3" s="1"/>
  <c r="E22" i="3"/>
  <c r="F22" i="3"/>
  <c r="G22" i="3"/>
  <c r="B23" i="3"/>
  <c r="C23" i="3" s="1"/>
  <c r="E23" i="3"/>
  <c r="F23" i="3"/>
  <c r="G23" i="3"/>
  <c r="B24" i="3"/>
  <c r="E24" i="3"/>
  <c r="F24" i="3"/>
  <c r="G24" i="3"/>
  <c r="B25" i="3"/>
  <c r="C25" i="3" s="1"/>
  <c r="E25" i="3"/>
  <c r="F25" i="3"/>
  <c r="G25" i="3"/>
  <c r="B26" i="3"/>
  <c r="E26" i="3"/>
  <c r="F26" i="3"/>
  <c r="G26" i="3"/>
  <c r="B27" i="3"/>
  <c r="C27" i="3" s="1"/>
  <c r="E27" i="3"/>
  <c r="F27" i="3"/>
  <c r="G27" i="3"/>
  <c r="B28" i="3"/>
  <c r="C28" i="3" s="1"/>
  <c r="E28" i="3"/>
  <c r="F28" i="3"/>
  <c r="G28" i="3"/>
  <c r="B29" i="3"/>
  <c r="C29" i="3" s="1"/>
  <c r="E29" i="3"/>
  <c r="F29" i="3"/>
  <c r="G29" i="3"/>
  <c r="B30" i="3"/>
  <c r="E30" i="3"/>
  <c r="F30" i="3"/>
  <c r="G30" i="3"/>
  <c r="B36" i="3"/>
  <c r="C36" i="3" s="1"/>
  <c r="E36" i="3"/>
  <c r="F36" i="3"/>
  <c r="G36" i="3"/>
  <c r="B37" i="3"/>
  <c r="C37" i="3" s="1"/>
  <c r="E37" i="3"/>
  <c r="F37" i="3"/>
  <c r="G37" i="3"/>
  <c r="B38" i="3"/>
  <c r="C38" i="3" s="1"/>
  <c r="E38" i="3"/>
  <c r="F38" i="3"/>
  <c r="G38" i="3"/>
  <c r="B39" i="3"/>
  <c r="C39" i="3" s="1"/>
  <c r="E39" i="3"/>
  <c r="F39" i="3"/>
  <c r="G39" i="3"/>
  <c r="B40" i="3"/>
  <c r="C40" i="3" s="1"/>
  <c r="E40" i="3"/>
  <c r="F40" i="3"/>
  <c r="G40" i="3"/>
  <c r="B41" i="3"/>
  <c r="C41" i="3" s="1"/>
  <c r="E41" i="3"/>
  <c r="F41" i="3"/>
  <c r="G41" i="3"/>
  <c r="B42" i="3"/>
  <c r="C42" i="3" s="1"/>
  <c r="E42" i="3"/>
  <c r="F42" i="3"/>
  <c r="G42" i="3"/>
  <c r="B43" i="3"/>
  <c r="C43" i="3" s="1"/>
  <c r="E43" i="3"/>
  <c r="F43" i="3"/>
  <c r="G43" i="3"/>
  <c r="B44" i="3"/>
  <c r="C44" i="3" s="1"/>
  <c r="E44" i="3"/>
  <c r="F44" i="3"/>
  <c r="G44" i="3"/>
  <c r="B45" i="3"/>
  <c r="E45" i="3"/>
  <c r="F45" i="3"/>
  <c r="G45" i="3"/>
  <c r="B46" i="3"/>
  <c r="C46" i="3" s="1"/>
  <c r="E46" i="3"/>
  <c r="F46" i="3"/>
  <c r="G46" i="3"/>
  <c r="B47" i="3"/>
  <c r="C47" i="3" s="1"/>
  <c r="E47" i="3"/>
  <c r="F47" i="3"/>
  <c r="G47" i="3"/>
  <c r="B48" i="3"/>
  <c r="C48" i="3" s="1"/>
  <c r="E48" i="3"/>
  <c r="F48" i="3"/>
  <c r="G48" i="3"/>
  <c r="B49" i="3"/>
  <c r="C49" i="3" s="1"/>
  <c r="E49" i="3"/>
  <c r="F49" i="3"/>
  <c r="G49" i="3"/>
  <c r="B50" i="3"/>
  <c r="E50" i="3"/>
  <c r="F50" i="3"/>
  <c r="G50" i="3"/>
  <c r="B51" i="3"/>
  <c r="C51" i="3" s="1"/>
  <c r="E51" i="3"/>
  <c r="F51" i="3"/>
  <c r="G51" i="3"/>
  <c r="B52" i="3"/>
  <c r="C52" i="3" s="1"/>
  <c r="E52" i="3"/>
  <c r="F52" i="3"/>
  <c r="G52" i="3"/>
  <c r="A10" i="3"/>
  <c r="D2" i="3"/>
  <c r="A42" i="1"/>
  <c r="A43" i="1" s="1"/>
  <c r="J12" i="3" l="1"/>
  <c r="J13" i="3" s="1"/>
  <c r="J14" i="3" s="1"/>
  <c r="J15" i="3" s="1"/>
  <c r="J16" i="3" s="1"/>
  <c r="H15" i="6"/>
  <c r="H16" i="6" s="1"/>
  <c r="G90" i="3"/>
  <c r="F51" i="6"/>
  <c r="H51" i="6"/>
  <c r="F61" i="6" s="1"/>
  <c r="H61" i="6" s="1"/>
  <c r="F65" i="6" s="1"/>
  <c r="E13" i="5" s="1"/>
  <c r="C10" i="3"/>
  <c r="B90" i="3"/>
  <c r="E90" i="3"/>
  <c r="F90" i="3"/>
  <c r="F25" i="5"/>
  <c r="F28" i="5" s="1"/>
  <c r="C13" i="5"/>
  <c r="C12" i="5"/>
  <c r="A12" i="3"/>
  <c r="A44" i="1"/>
  <c r="A45" i="1" s="1"/>
  <c r="D24" i="5" s="1"/>
  <c r="A11" i="3"/>
  <c r="C30" i="3"/>
  <c r="C45" i="3"/>
  <c r="C26" i="3"/>
  <c r="C11" i="3"/>
  <c r="C24" i="3"/>
  <c r="C50" i="3"/>
  <c r="C12" i="3"/>
  <c r="C34" i="3"/>
  <c r="K14" i="3" l="1"/>
  <c r="K12" i="3"/>
  <c r="K15" i="3"/>
  <c r="K13" i="3"/>
  <c r="G13" i="5"/>
  <c r="D13" i="5" s="1"/>
  <c r="D14" i="5" s="1"/>
  <c r="C90" i="3"/>
  <c r="I12" i="3"/>
  <c r="I11" i="3"/>
  <c r="L11" i="3" s="1"/>
  <c r="A46" i="1"/>
  <c r="A14" i="3"/>
  <c r="I14" i="3" s="1"/>
  <c r="A13" i="3"/>
  <c r="I13" i="3" s="1"/>
  <c r="J17" i="3"/>
  <c r="K16" i="3"/>
  <c r="I10" i="3"/>
  <c r="L12" i="3" l="1"/>
  <c r="L14" i="3"/>
  <c r="L13" i="3"/>
  <c r="A47" i="1"/>
  <c r="A15" i="3"/>
  <c r="F13" i="5"/>
  <c r="F14" i="5" s="1"/>
  <c r="L10" i="3"/>
  <c r="J18" i="3"/>
  <c r="K17" i="3"/>
  <c r="I15" i="3" l="1"/>
  <c r="L15" i="3" s="1"/>
  <c r="A48" i="1"/>
  <c r="A16" i="3"/>
  <c r="I16" i="3" s="1"/>
  <c r="J19" i="3"/>
  <c r="K18" i="3"/>
  <c r="A17" i="3" l="1"/>
  <c r="I17" i="3" s="1"/>
  <c r="A49" i="1"/>
  <c r="L16" i="3"/>
  <c r="J20" i="3"/>
  <c r="K19" i="3"/>
  <c r="A18" i="3" l="1"/>
  <c r="A50" i="1"/>
  <c r="D39" i="5" s="1"/>
  <c r="L17" i="3"/>
  <c r="J21" i="3"/>
  <c r="K20" i="3"/>
  <c r="I18" i="3" l="1"/>
  <c r="L18" i="3" s="1"/>
  <c r="A51" i="1"/>
  <c r="A19" i="3"/>
  <c r="I19" i="3" s="1"/>
  <c r="K21" i="3"/>
  <c r="J22" i="3"/>
  <c r="L19" i="3" l="1"/>
  <c r="A20" i="3"/>
  <c r="I20" i="3" s="1"/>
  <c r="L20" i="3" s="1"/>
  <c r="A52" i="1"/>
  <c r="K22" i="3"/>
  <c r="J23" i="3"/>
  <c r="A21" i="3" l="1"/>
  <c r="I21" i="3" s="1"/>
  <c r="A53" i="1"/>
  <c r="K23" i="3"/>
  <c r="J24" i="3"/>
  <c r="A54" i="1" l="1"/>
  <c r="A22" i="3"/>
  <c r="I22" i="3" s="1"/>
  <c r="L21" i="3"/>
  <c r="J25" i="3"/>
  <c r="K24" i="3"/>
  <c r="L22" i="3" l="1"/>
  <c r="A23" i="3"/>
  <c r="I23" i="3" s="1"/>
  <c r="A55" i="1"/>
  <c r="J26" i="3"/>
  <c r="K25" i="3"/>
  <c r="L23" i="3" l="1"/>
  <c r="A56" i="1"/>
  <c r="A24" i="3"/>
  <c r="I24" i="3" s="1"/>
  <c r="J27" i="3"/>
  <c r="K26" i="3"/>
  <c r="L24" i="3" l="1"/>
  <c r="A57" i="1"/>
  <c r="A25" i="3"/>
  <c r="I25" i="3" s="1"/>
  <c r="J28" i="3"/>
  <c r="K27" i="3"/>
  <c r="A26" i="3" l="1"/>
  <c r="I26" i="3" s="1"/>
  <c r="A58" i="1"/>
  <c r="L25" i="3"/>
  <c r="J29" i="3"/>
  <c r="K28" i="3"/>
  <c r="A59" i="1" l="1"/>
  <c r="A27" i="3"/>
  <c r="I27" i="3" s="1"/>
  <c r="L26" i="3"/>
  <c r="K29" i="3"/>
  <c r="J30" i="3"/>
  <c r="L27" i="3" l="1"/>
  <c r="A28" i="3"/>
  <c r="I28" i="3" s="1"/>
  <c r="A60" i="1"/>
  <c r="J31" i="3"/>
  <c r="K30" i="3"/>
  <c r="A61" i="1" l="1"/>
  <c r="A29" i="3"/>
  <c r="I29" i="3" s="1"/>
  <c r="L28" i="3"/>
  <c r="K31" i="3"/>
  <c r="J32" i="3"/>
  <c r="L29" i="3" l="1"/>
  <c r="A30" i="3"/>
  <c r="I30" i="3" s="1"/>
  <c r="A62" i="1"/>
  <c r="J33" i="3"/>
  <c r="K32" i="3"/>
  <c r="A31" i="3" l="1"/>
  <c r="I31" i="3" s="1"/>
  <c r="A63" i="1"/>
  <c r="L30" i="3"/>
  <c r="J34" i="3"/>
  <c r="K33" i="3"/>
  <c r="A64" i="1" l="1"/>
  <c r="A32" i="3"/>
  <c r="I32" i="3" s="1"/>
  <c r="L31" i="3"/>
  <c r="K34" i="3"/>
  <c r="J35" i="3"/>
  <c r="L32" i="3" l="1"/>
  <c r="A65" i="1"/>
  <c r="A33" i="3"/>
  <c r="I33" i="3" s="1"/>
  <c r="J36" i="3"/>
  <c r="K35" i="3"/>
  <c r="L33" i="3" l="1"/>
  <c r="A66" i="1"/>
  <c r="A34" i="3"/>
  <c r="J37" i="3"/>
  <c r="K36" i="3"/>
  <c r="I34" i="3" l="1"/>
  <c r="A35" i="3"/>
  <c r="I35" i="3" s="1"/>
  <c r="A67" i="1"/>
  <c r="K37" i="3"/>
  <c r="J38" i="3"/>
  <c r="L34" i="3" l="1"/>
  <c r="A68" i="1"/>
  <c r="A36" i="3"/>
  <c r="I36" i="3" s="1"/>
  <c r="L35" i="3"/>
  <c r="K38" i="3"/>
  <c r="J39" i="3"/>
  <c r="L36" i="3" l="1"/>
  <c r="A37" i="3"/>
  <c r="I37" i="3" s="1"/>
  <c r="A69" i="1"/>
  <c r="K39" i="3"/>
  <c r="J40" i="3"/>
  <c r="A70" i="1" l="1"/>
  <c r="A38" i="3"/>
  <c r="I38" i="3" s="1"/>
  <c r="L37" i="3"/>
  <c r="K40" i="3"/>
  <c r="J41" i="3"/>
  <c r="L38" i="3" l="1"/>
  <c r="A71" i="1"/>
  <c r="A39" i="3"/>
  <c r="I39" i="3" s="1"/>
  <c r="K41" i="3"/>
  <c r="J42" i="3"/>
  <c r="L39" i="3" l="1"/>
  <c r="A72" i="1"/>
  <c r="A40" i="3"/>
  <c r="I40" i="3" s="1"/>
  <c r="J43" i="3"/>
  <c r="K42" i="3"/>
  <c r="A73" i="1" l="1"/>
  <c r="A41" i="3"/>
  <c r="I41" i="3" s="1"/>
  <c r="L40" i="3"/>
  <c r="J44" i="3"/>
  <c r="K43" i="3"/>
  <c r="L41" i="3" l="1"/>
  <c r="A42" i="3"/>
  <c r="I42" i="3" s="1"/>
  <c r="A74" i="1"/>
  <c r="J45" i="3"/>
  <c r="K44" i="3"/>
  <c r="L42" i="3" l="1"/>
  <c r="A75" i="1"/>
  <c r="A43" i="3"/>
  <c r="I43" i="3" s="1"/>
  <c r="K45" i="3"/>
  <c r="J46" i="3"/>
  <c r="L43" i="3" l="1"/>
  <c r="A76" i="1"/>
  <c r="A44" i="3"/>
  <c r="I44" i="3" s="1"/>
  <c r="J47" i="3"/>
  <c r="K46" i="3"/>
  <c r="L44" i="3" l="1"/>
  <c r="A77" i="1"/>
  <c r="A45" i="3"/>
  <c r="I45" i="3" s="1"/>
  <c r="J48" i="3"/>
  <c r="K47" i="3"/>
  <c r="L45" i="3" l="1"/>
  <c r="A78" i="1"/>
  <c r="A46" i="3"/>
  <c r="I46" i="3" s="1"/>
  <c r="K48" i="3"/>
  <c r="J49" i="3"/>
  <c r="L46" i="3" l="1"/>
  <c r="A79" i="1"/>
  <c r="A47" i="3"/>
  <c r="I47" i="3" s="1"/>
  <c r="K49" i="3"/>
  <c r="J50" i="3"/>
  <c r="L47" i="3" l="1"/>
  <c r="A48" i="3"/>
  <c r="I48" i="3" s="1"/>
  <c r="A80" i="1"/>
  <c r="K50" i="3"/>
  <c r="J51" i="3"/>
  <c r="A81" i="1" l="1"/>
  <c r="A49" i="3"/>
  <c r="I49" i="3" s="1"/>
  <c r="L48" i="3"/>
  <c r="J52" i="3"/>
  <c r="K51" i="3"/>
  <c r="K52" i="3" l="1"/>
  <c r="J53" i="3"/>
  <c r="L49" i="3"/>
  <c r="A50" i="3"/>
  <c r="I50" i="3" s="1"/>
  <c r="A82" i="1"/>
  <c r="K53" i="3" l="1"/>
  <c r="J54" i="3"/>
  <c r="L50" i="3"/>
  <c r="A51" i="3"/>
  <c r="A83" i="1"/>
  <c r="K54" i="3" l="1"/>
  <c r="J55" i="3"/>
  <c r="A52" i="3"/>
  <c r="I52" i="3" s="1"/>
  <c r="L52" i="3" s="1"/>
  <c r="A84" i="1"/>
  <c r="I51" i="3"/>
  <c r="A85" i="1" l="1"/>
  <c r="A53" i="3"/>
  <c r="I53" i="3" s="1"/>
  <c r="K55" i="3"/>
  <c r="J56" i="3"/>
  <c r="L51" i="3"/>
  <c r="L53" i="3" l="1"/>
  <c r="A86" i="1"/>
  <c r="A54" i="3"/>
  <c r="I54" i="3" s="1"/>
  <c r="K56" i="3"/>
  <c r="J57" i="3"/>
  <c r="A87" i="1" l="1"/>
  <c r="A55" i="3"/>
  <c r="I55" i="3" s="1"/>
  <c r="L54" i="3"/>
  <c r="K57" i="3"/>
  <c r="J58" i="3"/>
  <c r="L55" i="3" l="1"/>
  <c r="A88" i="1"/>
  <c r="A56" i="3"/>
  <c r="I56" i="3" s="1"/>
  <c r="K58" i="3"/>
  <c r="J59" i="3"/>
  <c r="A89" i="1" l="1"/>
  <c r="A57" i="3"/>
  <c r="I57" i="3" s="1"/>
  <c r="L56" i="3"/>
  <c r="K59" i="3"/>
  <c r="J60" i="3"/>
  <c r="A90" i="1" l="1"/>
  <c r="A58" i="3"/>
  <c r="I58" i="3" s="1"/>
  <c r="L57" i="3"/>
  <c r="K60" i="3"/>
  <c r="J61" i="3"/>
  <c r="L58" i="3" l="1"/>
  <c r="A91" i="1"/>
  <c r="A59" i="3"/>
  <c r="I59" i="3" s="1"/>
  <c r="K61" i="3"/>
  <c r="J62" i="3"/>
  <c r="A92" i="1" l="1"/>
  <c r="A60" i="3"/>
  <c r="I60" i="3" s="1"/>
  <c r="L59" i="3"/>
  <c r="K62" i="3"/>
  <c r="J63" i="3"/>
  <c r="A93" i="1" l="1"/>
  <c r="A61" i="3"/>
  <c r="I61" i="3" s="1"/>
  <c r="L60" i="3"/>
  <c r="K63" i="3"/>
  <c r="J64" i="3"/>
  <c r="L61" i="3" l="1"/>
  <c r="A94" i="1"/>
  <c r="A62" i="3"/>
  <c r="I62" i="3" s="1"/>
  <c r="K64" i="3"/>
  <c r="J65" i="3"/>
  <c r="A95" i="1" l="1"/>
  <c r="A63" i="3"/>
  <c r="I63" i="3" s="1"/>
  <c r="L62" i="3"/>
  <c r="K65" i="3"/>
  <c r="J66" i="3"/>
  <c r="A96" i="1" l="1"/>
  <c r="A64" i="3"/>
  <c r="I64" i="3" s="1"/>
  <c r="L63" i="3"/>
  <c r="K66" i="3"/>
  <c r="J67" i="3"/>
  <c r="A97" i="1" l="1"/>
  <c r="A65" i="3"/>
  <c r="I65" i="3" s="1"/>
  <c r="L64" i="3"/>
  <c r="K67" i="3"/>
  <c r="J68" i="3"/>
  <c r="L65" i="3" l="1"/>
  <c r="A98" i="1"/>
  <c r="A66" i="3"/>
  <c r="I66" i="3" s="1"/>
  <c r="K68" i="3"/>
  <c r="J69" i="3"/>
  <c r="L66" i="3" l="1"/>
  <c r="A99" i="1"/>
  <c r="A67" i="3"/>
  <c r="I67" i="3" s="1"/>
  <c r="K69" i="3"/>
  <c r="J70" i="3"/>
  <c r="L67" i="3" l="1"/>
  <c r="A100" i="1"/>
  <c r="A68" i="3"/>
  <c r="I68" i="3" s="1"/>
  <c r="K70" i="3"/>
  <c r="J71" i="3"/>
  <c r="L68" i="3" l="1"/>
  <c r="A101" i="1"/>
  <c r="A69" i="3"/>
  <c r="I69" i="3" s="1"/>
  <c r="K71" i="3"/>
  <c r="J72" i="3"/>
  <c r="L69" i="3" l="1"/>
  <c r="A102" i="1"/>
  <c r="A70" i="3"/>
  <c r="I70" i="3" s="1"/>
  <c r="K72" i="3"/>
  <c r="J73" i="3"/>
  <c r="L70" i="3" l="1"/>
  <c r="A103" i="1"/>
  <c r="A71" i="3"/>
  <c r="I71" i="3" s="1"/>
  <c r="K73" i="3"/>
  <c r="J74" i="3"/>
  <c r="L71" i="3" l="1"/>
  <c r="A104" i="1"/>
  <c r="A72" i="3"/>
  <c r="I72" i="3" s="1"/>
  <c r="K74" i="3"/>
  <c r="J75" i="3"/>
  <c r="L72" i="3" l="1"/>
  <c r="A105" i="1"/>
  <c r="A73" i="3"/>
  <c r="I73" i="3" s="1"/>
  <c r="K75" i="3"/>
  <c r="J76" i="3"/>
  <c r="L73" i="3" l="1"/>
  <c r="A106" i="1"/>
  <c r="A74" i="3"/>
  <c r="I74" i="3" s="1"/>
  <c r="K76" i="3"/>
  <c r="J77" i="3"/>
  <c r="L74" i="3" l="1"/>
  <c r="A107" i="1"/>
  <c r="A75" i="3"/>
  <c r="I75" i="3" s="1"/>
  <c r="K77" i="3"/>
  <c r="J78" i="3"/>
  <c r="L75" i="3" l="1"/>
  <c r="A108" i="1"/>
  <c r="A76" i="3"/>
  <c r="I76" i="3" s="1"/>
  <c r="K78" i="3"/>
  <c r="J79" i="3"/>
  <c r="A109" i="1" l="1"/>
  <c r="A77" i="3"/>
  <c r="I77" i="3" s="1"/>
  <c r="L76" i="3"/>
  <c r="K79" i="3"/>
  <c r="J80" i="3"/>
  <c r="L77" i="3" l="1"/>
  <c r="A110" i="1"/>
  <c r="A78" i="3"/>
  <c r="I78" i="3" s="1"/>
  <c r="K80" i="3"/>
  <c r="J81" i="3"/>
  <c r="L78" i="3" l="1"/>
  <c r="A111" i="1"/>
  <c r="A79" i="3"/>
  <c r="I79" i="3" s="1"/>
  <c r="K81" i="3"/>
  <c r="J82" i="3"/>
  <c r="L79" i="3" l="1"/>
  <c r="A112" i="1"/>
  <c r="A80" i="3"/>
  <c r="I80" i="3" s="1"/>
  <c r="K82" i="3"/>
  <c r="J83" i="3"/>
  <c r="L80" i="3" l="1"/>
  <c r="A113" i="1"/>
  <c r="A81" i="3"/>
  <c r="I81" i="3" s="1"/>
  <c r="K83" i="3"/>
  <c r="J84" i="3"/>
  <c r="L81" i="3" l="1"/>
  <c r="A114" i="1"/>
  <c r="A82" i="3"/>
  <c r="I82" i="3" s="1"/>
  <c r="K84" i="3"/>
  <c r="J85" i="3"/>
  <c r="L82" i="3" l="1"/>
  <c r="A115" i="1"/>
  <c r="A83" i="3"/>
  <c r="I83" i="3" s="1"/>
  <c r="K85" i="3"/>
  <c r="J86" i="3"/>
  <c r="A116" i="1" l="1"/>
  <c r="A84" i="3"/>
  <c r="I84" i="3" s="1"/>
  <c r="L83" i="3"/>
  <c r="K86" i="3"/>
  <c r="J87" i="3"/>
  <c r="L84" i="3" l="1"/>
  <c r="A117" i="1"/>
  <c r="A85" i="3"/>
  <c r="I85" i="3" s="1"/>
  <c r="K87" i="3"/>
  <c r="J88" i="3"/>
  <c r="A118" i="1" l="1"/>
  <c r="A86" i="3"/>
  <c r="I86" i="3" s="1"/>
  <c r="L85" i="3"/>
  <c r="K88" i="3"/>
  <c r="J89" i="3"/>
  <c r="K89" i="3" s="1"/>
  <c r="L86" i="3" l="1"/>
  <c r="A119" i="1"/>
  <c r="A87" i="3"/>
  <c r="I87" i="3" s="1"/>
  <c r="L87" i="3" l="1"/>
  <c r="A120" i="1"/>
  <c r="A89" i="3" s="1"/>
  <c r="A88" i="3"/>
  <c r="I88" i="3" s="1"/>
  <c r="I89" i="3" l="1"/>
  <c r="I90" i="3" s="1"/>
  <c r="H90" i="3"/>
  <c r="L88" i="3"/>
  <c r="L89" i="3" l="1"/>
  <c r="L90" i="3" l="1"/>
  <c r="E12" i="5" s="1"/>
  <c r="G12" i="5" s="1"/>
  <c r="E14" i="5" s="1"/>
  <c r="F42" i="5" s="1"/>
  <c r="F44" i="5" s="1"/>
  <c r="B44" i="5" l="1"/>
  <c r="F46" i="5"/>
  <c r="J5" i="3"/>
  <c r="F27" i="5"/>
  <c r="F29" i="5" s="1"/>
  <c r="C14" i="5"/>
  <c r="G14" i="5" s="1"/>
  <c r="F31" i="5" l="1"/>
  <c r="F32" i="5" s="1"/>
  <c r="F33" i="5" s="1"/>
  <c r="B33" i="5" s="1"/>
  <c r="B29" i="5"/>
  <c r="F47" i="5"/>
  <c r="F48" i="5" s="1"/>
  <c r="B48" i="5" s="1"/>
</calcChain>
</file>

<file path=xl/comments1.xml><?xml version="1.0" encoding="utf-8"?>
<comments xmlns="http://schemas.openxmlformats.org/spreadsheetml/2006/main">
  <authors>
    <author>Christoph Otto</author>
  </authors>
  <commentList>
    <comment ref="E14" authorId="0" shapeId="0">
      <text>
        <r>
          <rPr>
            <b/>
            <sz val="9"/>
            <color indexed="81"/>
            <rFont val="Tahoma"/>
            <family val="2"/>
          </rPr>
          <t>Hinweis:</t>
        </r>
        <r>
          <rPr>
            <sz val="9"/>
            <color indexed="81"/>
            <rFont val="Tahoma"/>
            <family val="2"/>
          </rPr>
          <t xml:space="preserve">
Mit dem Bodenrichtwertinformationssystem Thüringen (BORIS-TH) werden die von den Gutachterausschüssen für Grundstückswerte ermittelten Bodenrichtwerte veröffentlicht; siehe Link rechts</t>
        </r>
      </text>
    </comment>
    <comment ref="E16" authorId="0" shapeId="0">
      <text>
        <r>
          <rPr>
            <b/>
            <sz val="9"/>
            <color indexed="81"/>
            <rFont val="Tahoma"/>
            <family val="2"/>
          </rPr>
          <t>Hinweis:</t>
        </r>
        <r>
          <rPr>
            <sz val="9"/>
            <color indexed="81"/>
            <rFont val="Tahoma"/>
            <family val="2"/>
          </rPr>
          <t xml:space="preserve">
Entwicklung (bspw. Sondereffekte) bei Bedarf siehe unter Notizen erläutern</t>
        </r>
      </text>
    </comment>
    <comment ref="E18" authorId="0" shapeId="0">
      <text>
        <r>
          <rPr>
            <b/>
            <sz val="9"/>
            <color indexed="81"/>
            <rFont val="Tahoma"/>
            <family val="2"/>
          </rPr>
          <t>Hinweis:</t>
        </r>
        <r>
          <rPr>
            <sz val="9"/>
            <color indexed="81"/>
            <rFont val="Tahoma"/>
            <family val="2"/>
          </rPr>
          <t xml:space="preserve">
Informelle Größe; Ermittlung = RBW am Bewertungsstichtag / Gesamtfläche</t>
        </r>
      </text>
    </comment>
    <comment ref="E21" authorId="0" shapeId="0">
      <text>
        <r>
          <rPr>
            <b/>
            <sz val="9"/>
            <color indexed="81"/>
            <rFont val="Tahoma"/>
            <family val="2"/>
          </rPr>
          <t>Hinweis:</t>
        </r>
        <r>
          <rPr>
            <sz val="9"/>
            <color indexed="81"/>
            <rFont val="Tahoma"/>
            <family val="2"/>
          </rPr>
          <t xml:space="preserve">
Ermittlung kann bspw. in Anlehnung an die Anlagen 3/4 der SachwertR 2012 erfolgen, siehe Link rechts</t>
        </r>
      </text>
    </comment>
    <comment ref="E22" authorId="0" shapeId="0">
      <text>
        <r>
          <rPr>
            <b/>
            <sz val="9"/>
            <color indexed="81"/>
            <rFont val="Tahoma"/>
            <family val="2"/>
          </rPr>
          <t>Hinweis:</t>
        </r>
        <r>
          <rPr>
            <sz val="9"/>
            <color indexed="81"/>
            <rFont val="Tahoma"/>
            <family val="2"/>
          </rPr>
          <t xml:space="preserve">
Ermittlung = Nutzungsdauer ./. (Jahr des Bewertungsstichtags ./. Anschaffungsjahr);
Abweichungen ggf. gesondert erläutern</t>
        </r>
      </text>
    </comment>
  </commentList>
</comments>
</file>

<file path=xl/comments2.xml><?xml version="1.0" encoding="utf-8"?>
<comments xmlns="http://schemas.openxmlformats.org/spreadsheetml/2006/main">
  <authors>
    <author>tc={14FE9344-0993-438F-BF2A-067CB7BFA302}</author>
    <author>Kieling, Klaus</author>
    <author>tc={B6799F25-EAAE-4E0A-B56B-46FD102F984E}</author>
  </authors>
  <commentList>
    <comment ref="B3" authorId="0" shapeId="0">
      <text>
        <r>
          <rPr>
            <sz val="11"/>
            <color theme="1"/>
            <rFont val="Calibri"/>
            <family val="2"/>
            <scheme val="minor"/>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Eingabefelder Zeile 3-5: vielleicht standardmäßig linksbündig einstellen?</t>
        </r>
      </text>
    </comment>
    <comment ref="A8" authorId="1" shapeId="0">
      <text>
        <r>
          <rPr>
            <b/>
            <sz val="9"/>
            <color indexed="81"/>
            <rFont val="Segoe UI"/>
            <family val="2"/>
          </rPr>
          <t>Hinweis:</t>
        </r>
        <r>
          <rPr>
            <sz val="9"/>
            <color indexed="81"/>
            <rFont val="Segoe UI"/>
            <family val="2"/>
          </rPr>
          <t xml:space="preserve">
wenn nicht vorliegend, dann Liegenschaftszinssatz aus "Nachbarschaft"
→ vergleichbarer Kreis wählen
wenn nicht aktuell → Entwicklung des vergleichbaren Kreises brücksichtigen</t>
        </r>
      </text>
    </comment>
    <comment ref="E10" authorId="2" shapeId="0">
      <text>
        <r>
          <rPr>
            <sz val="11"/>
            <color theme="1"/>
            <rFont val="Calibri"/>
            <family val="2"/>
            <scheme val="minor"/>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Vielleicht kann man die Homepage, auf der die Grundstücksmarktberichte verlinkt sind, noch einbinden?</t>
        </r>
      </text>
    </comment>
  </commentList>
</comments>
</file>

<file path=xl/comments3.xml><?xml version="1.0" encoding="utf-8"?>
<comments xmlns="http://schemas.openxmlformats.org/spreadsheetml/2006/main">
  <authors>
    <author>Christoph Otto</author>
  </authors>
  <commentList>
    <comment ref="C5" authorId="0" shapeId="0">
      <text>
        <r>
          <rPr>
            <b/>
            <sz val="9"/>
            <color indexed="81"/>
            <rFont val="Tahoma"/>
            <family val="2"/>
          </rPr>
          <t>Hinweis:</t>
        </r>
        <r>
          <rPr>
            <sz val="9"/>
            <color indexed="81"/>
            <rFont val="Tahoma"/>
            <family val="2"/>
          </rPr>
          <t xml:space="preserve">
Bei Fragen zur Ermittlung des objektivierten Vergleichszinssatzes für ihre Region, kontaktierten sie ggf. ihren zuständigen Prüfungsleiter; weiterführend siehe auch Rechnungslegungsstandard der Konferenz der Prüfungsdirektoren des GdW zu Discounted Cashflow Bewertungs-verfahren für Wohnimmobilien sowie IDW S 10</t>
        </r>
      </text>
    </comment>
  </commentList>
</comments>
</file>

<file path=xl/comments4.xml><?xml version="1.0" encoding="utf-8"?>
<comments xmlns="http://schemas.openxmlformats.org/spreadsheetml/2006/main">
  <authors>
    <author>Christoph Otto</author>
  </authors>
  <commentList>
    <comment ref="F59" authorId="0" shapeId="0">
      <text>
        <r>
          <rPr>
            <b/>
            <sz val="9"/>
            <color indexed="81"/>
            <rFont val="Tahoma"/>
            <family val="2"/>
          </rPr>
          <t>Hinweis:</t>
        </r>
        <r>
          <rPr>
            <sz val="9"/>
            <color indexed="81"/>
            <rFont val="Tahoma"/>
            <family val="2"/>
          </rPr>
          <t xml:space="preserve">
Aktuellster Baupreisindex zum Bewertungsstichtag laut Ermittlung durch Statistisches Bundesamt (Destatis), siehe Link rechts</t>
        </r>
      </text>
    </comment>
  </commentList>
</comments>
</file>

<file path=xl/comments5.xml><?xml version="1.0" encoding="utf-8"?>
<comments xmlns="http://schemas.openxmlformats.org/spreadsheetml/2006/main">
  <authors>
    <author>Christoph Otto</author>
  </authors>
  <commentList>
    <comment ref="A17" authorId="0" shapeId="0">
      <text>
        <r>
          <rPr>
            <b/>
            <sz val="9"/>
            <color indexed="81"/>
            <rFont val="Tahoma"/>
            <family val="2"/>
          </rPr>
          <t>Hinweis:</t>
        </r>
        <r>
          <rPr>
            <sz val="9"/>
            <color indexed="81"/>
            <rFont val="Tahoma"/>
            <family val="2"/>
          </rPr>
          <t xml:space="preserve">
Für die Beurteilung wann bei Gebäuden eine dauernde Wertminderung vorliegt, gelten folgende Kriterien:
- der beizulegende Wert liegt am Stichtag unter dem Buchwert und
- die diesem Wert zugrundeliegende Wertminderung ist voraussichtlich nicht nur vorübergehend.
Ein vorübergehende Wertminderung kann nur dann angenommen werden, soweit aufgrund nachweisbarer Umstände erwartet werden kann, dass zumindest mittelfristig, d. h. innerhalb eines Zeitraums von i. d. R. bis zu 5 Jahren </t>
        </r>
        <r>
          <rPr>
            <b/>
            <sz val="9"/>
            <color indexed="81"/>
            <rFont val="Tahoma"/>
            <family val="2"/>
          </rPr>
          <t>(Variante A siehe unten)</t>
        </r>
        <r>
          <rPr>
            <sz val="9"/>
            <color indexed="81"/>
            <rFont val="Tahoma"/>
            <family val="2"/>
          </rPr>
          <t xml:space="preserve">, die Gründe für die Abschreibung nicht mehr bestehen werden. Allerdings ermöglicht IDW RS IFA 2 bei einer besonders langen Restnutzungsdauer des Gebäudes, diesen Beurteilungszeitraum auf bis zu 10 Jahre zu verlängern. Von einer besonders langen Restnutzungsdauer kann ab 40 Jahren ausgegangen werden </t>
        </r>
        <r>
          <rPr>
            <b/>
            <sz val="9"/>
            <color indexed="81"/>
            <rFont val="Tahoma"/>
            <family val="2"/>
          </rPr>
          <t>(Variante B siehe unten)</t>
        </r>
        <r>
          <rPr>
            <sz val="9"/>
            <color indexed="81"/>
            <rFont val="Tahoma"/>
            <family val="2"/>
          </rPr>
          <t>.</t>
        </r>
      </text>
    </comment>
  </commentList>
</comments>
</file>

<file path=xl/sharedStrings.xml><?xml version="1.0" encoding="utf-8"?>
<sst xmlns="http://schemas.openxmlformats.org/spreadsheetml/2006/main" count="312" uniqueCount="205">
  <si>
    <t>Objektdaten</t>
  </si>
  <si>
    <t>Bearbeitungshinweise:</t>
  </si>
  <si>
    <t>grüne Felder</t>
  </si>
  <si>
    <t>= Müssen bearbeitet werden</t>
  </si>
  <si>
    <t>(für alle Arbeitsblätter)</t>
  </si>
  <si>
    <t>blaue Felder</t>
  </si>
  <si>
    <t>= Für Notizen (bei Bedarf) verwenden</t>
  </si>
  <si>
    <t>graue Fekder</t>
  </si>
  <si>
    <t>= Automatische Felder (nicht änderbar)</t>
  </si>
  <si>
    <t>gelbe Felder</t>
  </si>
  <si>
    <t>= Fehlermeldung / Unplausibilität</t>
  </si>
  <si>
    <t>Eigentümer:</t>
  </si>
  <si>
    <t xml:space="preserve">WG Muster </t>
  </si>
  <si>
    <t>Objekt:</t>
  </si>
  <si>
    <t xml:space="preserve">Musterweg 15  </t>
  </si>
  <si>
    <t>Stichtag:</t>
  </si>
  <si>
    <t>Grund und Boden:</t>
  </si>
  <si>
    <t>(historische) AK:</t>
  </si>
  <si>
    <t>EUR</t>
  </si>
  <si>
    <t>RBW am Bewertungsstichtag:</t>
  </si>
  <si>
    <t>Grundstücksgröße:</t>
  </si>
  <si>
    <t>m²</t>
  </si>
  <si>
    <t>Aktueller Bodenrichtwert (lt. BORIS-TH):</t>
  </si>
  <si>
    <t>EUR/m²</t>
  </si>
  <si>
    <t>BORIS-TH (Link)</t>
  </si>
  <si>
    <t>Gebäude:</t>
  </si>
  <si>
    <t>(historische) AHK:</t>
  </si>
  <si>
    <t>RBW je m² am Bewertungsstichtag:</t>
  </si>
  <si>
    <t>Planmäßige Jahres-AfA:</t>
  </si>
  <si>
    <t>Anschaffungsjahr:</t>
  </si>
  <si>
    <t>Nutzungsdauer:</t>
  </si>
  <si>
    <t>Jahre</t>
  </si>
  <si>
    <t>SachwertR 2012 (Link)</t>
  </si>
  <si>
    <t>Restnutzungsdauer:</t>
  </si>
  <si>
    <t>Abgleich Restnutzungsdauer zur Dateneingabe:</t>
  </si>
  <si>
    <t>Notizen zur Entwicklung/Zusammensetzung der (historischen) AHK:</t>
  </si>
  <si>
    <t xml:space="preserve">Datum </t>
  </si>
  <si>
    <t>Bemerkung</t>
  </si>
  <si>
    <t>Zu-/Abgänge      in EUR</t>
  </si>
  <si>
    <t>außerpl. AfA bzw. Zu-schreibungen in EUR</t>
  </si>
  <si>
    <t>Jahr</t>
  </si>
  <si>
    <t>Wohn-einheiten</t>
  </si>
  <si>
    <t>Gesamt-    fläche in m²</t>
  </si>
  <si>
    <t>monatliche Sollmiete in EUR/m²</t>
  </si>
  <si>
    <t>Verwaltungs-kosten in EUR/Einheit</t>
  </si>
  <si>
    <t>jährliche nicht umlagefähige BK in EUR</t>
  </si>
  <si>
    <t>jährliche Instandhaltung in EUR/m²</t>
  </si>
  <si>
    <t>Leerstand in %</t>
  </si>
  <si>
    <t>Ertragswert</t>
  </si>
  <si>
    <t>Zinssatz:</t>
  </si>
  <si>
    <t>Der Ertragswert beträgt:</t>
  </si>
  <si>
    <t>Sollmiete        in EUR</t>
  </si>
  <si>
    <t>Mietausfall      in EUR</t>
  </si>
  <si>
    <t>Zuschüsse       in EUR</t>
  </si>
  <si>
    <t>Umlagen-ausfälle         in EUR</t>
  </si>
  <si>
    <t>Verwalt-ungskosten      in EUR</t>
  </si>
  <si>
    <t>Instandhalt-ungskosten      in EUR</t>
  </si>
  <si>
    <t>Bodenwert-verzinsung      in EUR</t>
  </si>
  <si>
    <t>Bewirtschaft-ungsergebnis       in EUR</t>
  </si>
  <si>
    <t>Lauf-zeit</t>
  </si>
  <si>
    <t>Bar-wert-faktor</t>
  </si>
  <si>
    <t>Gebäude-ertragswert    in EUR</t>
  </si>
  <si>
    <t>Σ</t>
  </si>
  <si>
    <t>Ermittlung der Sachwerte</t>
  </si>
  <si>
    <t>1.</t>
  </si>
  <si>
    <t xml:space="preserve">Grund und Boden </t>
  </si>
  <si>
    <t>Wert nach Bodenrichtwert (= Sachwert Grund und Boden):</t>
  </si>
  <si>
    <r>
      <rPr>
        <u/>
        <sz val="10"/>
        <color theme="1"/>
        <rFont val="Calibri"/>
        <family val="2"/>
        <scheme val="minor"/>
      </rPr>
      <t>Abweichung</t>
    </r>
    <r>
      <rPr>
        <sz val="10"/>
        <color theme="1"/>
        <rFont val="Calibri"/>
        <family val="2"/>
        <scheme val="minor"/>
      </rPr>
      <t xml:space="preserve"> Buchwert Grund und Boden zu Wert nach Bodenrichtwert:</t>
    </r>
  </si>
  <si>
    <t>Beurteilung:</t>
  </si>
  <si>
    <t>2.</t>
  </si>
  <si>
    <t>Gebäude</t>
  </si>
  <si>
    <t>Geschäftsjahr:</t>
  </si>
  <si>
    <t>Gesamtfläche:</t>
  </si>
  <si>
    <t>Anzahl Wohnungen:</t>
  </si>
  <si>
    <t>2.1.</t>
  </si>
  <si>
    <t>Brutto-Grundfläche-Kostenwert * Faktor = Normalherstellungskosten</t>
  </si>
  <si>
    <t>*</t>
  </si>
  <si>
    <t>=</t>
  </si>
  <si>
    <t>Auswahl Brutto-Grundfläche-Kostenwert:</t>
  </si>
  <si>
    <t>bis 6 Wohnungen =</t>
  </si>
  <si>
    <t>bis 20 Wohnungen =</t>
  </si>
  <si>
    <t>über 20 Wohnungen =</t>
  </si>
  <si>
    <t>Auswahl Faktor nach Nutzungsart:</t>
  </si>
  <si>
    <t>Mietwohngrundstücke (MFH/WEG) =</t>
  </si>
  <si>
    <t>Gemischt genutzte Grundstücke (25-75% Wohnanteil) =</t>
  </si>
  <si>
    <t>Geschäftsgrundstücke  (Geschäftshauser, Bürogebäude) =</t>
  </si>
  <si>
    <t>2.2</t>
  </si>
  <si>
    <t>Berücksichtigung der Außenanlagen mit pauschal 3 %</t>
  </si>
  <si>
    <t>2.3</t>
  </si>
  <si>
    <t>Alterswertwertminderung</t>
  </si>
  <si>
    <t xml:space="preserve">Gebäudewert mit Außenlangen * RND </t>
  </si>
  <si>
    <t>EUR/m² Wohnfläche</t>
  </si>
  <si>
    <t xml:space="preserve">Gesamtnutzungsdauer </t>
  </si>
  <si>
    <t xml:space="preserve">2.4 </t>
  </si>
  <si>
    <t>Indexierung</t>
  </si>
  <si>
    <t>Index</t>
  </si>
  <si>
    <t>IV. Quartal</t>
  </si>
  <si>
    <t>Destatis Baupreisindex (Link)</t>
  </si>
  <si>
    <t>Gebäudewert * Baupreisindex</t>
  </si>
  <si>
    <t>Indizierter Gebäudewert * Wohnfläche</t>
  </si>
  <si>
    <t>Sachwert des Gebäudes</t>
  </si>
  <si>
    <t>Berechnungsergebnisse</t>
  </si>
  <si>
    <t>Repartition:</t>
  </si>
  <si>
    <t xml:space="preserve">Gebäude </t>
  </si>
  <si>
    <t xml:space="preserve">Gesamt </t>
  </si>
  <si>
    <t>in EUR</t>
  </si>
  <si>
    <t>in %</t>
  </si>
  <si>
    <t xml:space="preserve">Verkehrswert </t>
  </si>
  <si>
    <t xml:space="preserve">Sachwert </t>
  </si>
  <si>
    <t>3.</t>
  </si>
  <si>
    <t xml:space="preserve">Repartition </t>
  </si>
  <si>
    <t>Überprüfung auf außerplanmäßigen Abschreibungsbedarf in Anlehnung an IDW RS IFA 2:</t>
  </si>
  <si>
    <r>
      <t xml:space="preserve">(die </t>
    </r>
    <r>
      <rPr>
        <i/>
        <u/>
        <sz val="10"/>
        <rFont val="Calibri"/>
        <family val="2"/>
        <scheme val="minor"/>
      </rPr>
      <t>nicht</t>
    </r>
    <r>
      <rPr>
        <i/>
        <sz val="10"/>
        <rFont val="Calibri"/>
        <family val="2"/>
        <scheme val="minor"/>
      </rPr>
      <t xml:space="preserve"> anzuwendende Variante wurde automatisch in Abhängigkeit von der Restnutzungsdauer schaffriert)</t>
    </r>
  </si>
  <si>
    <t>Variante A</t>
  </si>
  <si>
    <t>Da Restnutzungsdauer &lt; 40 Jahre, Vergleich Buchwert in 5 Jahren mit Ertragswert:</t>
  </si>
  <si>
    <t>Restbuchwert am Bewertungsstichtag</t>
  </si>
  <si>
    <t>./. Abschreibung für 5 Jahre</t>
  </si>
  <si>
    <t>Restbuchwert 5 Jahre nach Bewertungsstichtag</t>
  </si>
  <si>
    <t xml:space="preserve">Gebäudeertragswert nach Repartition </t>
  </si>
  <si>
    <t xml:space="preserve">./. Restbuchwert in 5 Jahren </t>
  </si>
  <si>
    <t>./. Restbuchwert am Bewertungsstichtag</t>
  </si>
  <si>
    <t>Variante B</t>
  </si>
  <si>
    <t>Da Restnutzungsdauer &gt;=  40 Jahre, Vergleich Buchwert in 10 Jahren mit Ertragswert:</t>
  </si>
  <si>
    <t>./. Abschreibung für 10 Jahre</t>
  </si>
  <si>
    <t>Restbuchwert 10 Jahre nach Bewertungsstichtag</t>
  </si>
  <si>
    <t>./. Restbuchwert in 10 Jahren</t>
  </si>
  <si>
    <t>Notizen:</t>
  </si>
  <si>
    <t>Ermittlung des objektspezifischen Liegenschaftszinssatzes</t>
  </si>
  <si>
    <t>1. Ausgangsliegenschaftszinssatz:</t>
  </si>
  <si>
    <t>Eingabe des akt. durchschnittlichen Liegenschaftszinssatzes:</t>
  </si>
  <si>
    <t>(Quelle: Gutachterausschüsse der Kommunen veröffentlicht u.a. in Grundstücksmarktberichten)</t>
  </si>
  <si>
    <t>https://tlbg.thueringen.de/wertermittlung/berichte-zum-grundstuecksmarkt#c83487</t>
  </si>
  <si>
    <t>2. Bestimmung des objektspezifischen Liegenschaftszinses</t>
  </si>
  <si>
    <t>Begründung
Einstufung</t>
  </si>
  <si>
    <t>(Zutreffendes bitte ankreuzen - je Kategorie nur 1 Feld ankreuzen)</t>
  </si>
  <si>
    <t>Risiken/ Chancen des Marktumfeldes</t>
  </si>
  <si>
    <r>
      <rPr>
        <sz val="10"/>
        <color theme="1"/>
        <rFont val="Calibri"/>
        <family val="2"/>
        <scheme val="minor"/>
      </rPr>
      <t>Bevölkerungsentwicklung</t>
    </r>
    <r>
      <rPr>
        <i/>
        <sz val="10"/>
        <color theme="1"/>
        <rFont val="Calibri"/>
        <family val="2"/>
        <scheme val="minor"/>
      </rPr>
      <t xml:space="preserve">
</t>
    </r>
  </si>
  <si>
    <t>Prognose der Gemeinde
zum Jahr 2030</t>
  </si>
  <si>
    <t>wachsend</t>
  </si>
  <si>
    <t>gleichbleibend</t>
  </si>
  <si>
    <t>schrumpfend</t>
  </si>
  <si>
    <t>x</t>
  </si>
  <si>
    <t>Lage der Stadt/ Gemeinde</t>
  </si>
  <si>
    <t>Verkehrsanbindung an Autobahnen oder Schienennetz
Anbindung an ÖPNV</t>
  </si>
  <si>
    <t>gut</t>
  </si>
  <si>
    <t>normal</t>
  </si>
  <si>
    <t>schlecht</t>
  </si>
  <si>
    <t>Größe der Kommune</t>
  </si>
  <si>
    <t>Einwohnerzahl - aktuelle Veröffentlichung statistische Ämter, Kommune</t>
  </si>
  <si>
    <t>über 10.000</t>
  </si>
  <si>
    <t>5.000 - 10.000</t>
  </si>
  <si>
    <t>unter 5.000</t>
  </si>
  <si>
    <t>Lage in der Stadt/ Gemeinde</t>
  </si>
  <si>
    <t>Stadtkern/attraktive Lage</t>
  </si>
  <si>
    <t>Stadtgebiet</t>
  </si>
  <si>
    <t>mittel</t>
  </si>
  <si>
    <t>Stadtrandlage/unattraktive Lage</t>
  </si>
  <si>
    <r>
      <rPr>
        <sz val="10"/>
        <color theme="1"/>
        <rFont val="Calibri"/>
        <family val="2"/>
        <scheme val="minor"/>
      </rPr>
      <t>Qualität des Quartiers</t>
    </r>
    <r>
      <rPr>
        <i/>
        <sz val="10"/>
        <color theme="1"/>
        <rFont val="Calibri"/>
        <family val="2"/>
        <scheme val="minor"/>
      </rPr>
      <t xml:space="preserve">
</t>
    </r>
  </si>
  <si>
    <t>Beurteilung/ Einschätzung
des Quartiers</t>
  </si>
  <si>
    <t>Infrastruktur des Quartiers</t>
  </si>
  <si>
    <t>Vorhandensein von Einkaufsmöglichkeiten, Kindertagesstätten/Schulen, Spielplätze,
Ärzte im Umfeld</t>
  </si>
  <si>
    <t>Ʃ</t>
  </si>
  <si>
    <t>Risiken/ Chancen des Objektes</t>
  </si>
  <si>
    <r>
      <rPr>
        <sz val="10"/>
        <color theme="1"/>
        <rFont val="Calibri"/>
        <family val="2"/>
        <scheme val="minor"/>
      </rPr>
      <t>Energiebedarf</t>
    </r>
    <r>
      <rPr>
        <i/>
        <sz val="10"/>
        <color theme="1"/>
        <rFont val="Calibri"/>
        <family val="2"/>
        <scheme val="minor"/>
      </rPr>
      <t xml:space="preserve">
</t>
    </r>
  </si>
  <si>
    <t>unter 75 kWh/m² p.a.</t>
  </si>
  <si>
    <t>gut (grün)</t>
  </si>
  <si>
    <t>75 - 175 kWh/m² p.a.</t>
  </si>
  <si>
    <t>normal (gelb)</t>
  </si>
  <si>
    <t>über 175 kWh/m² p.a.</t>
  </si>
  <si>
    <t>schlecht (rot)</t>
  </si>
  <si>
    <t>Parkplätze</t>
  </si>
  <si>
    <t>&gt; 60 %</t>
  </si>
  <si>
    <t>vorhanden
für Anteil der Wohnungen</t>
  </si>
  <si>
    <t>40 % - 60 %</t>
  </si>
  <si>
    <t>&lt; 40 %</t>
  </si>
  <si>
    <t>Barrierearmut und/oder
Aufzug</t>
  </si>
  <si>
    <t>ja</t>
  </si>
  <si>
    <t>vorhanden</t>
  </si>
  <si>
    <t>nein</t>
  </si>
  <si>
    <t>nicht vorhanden</t>
  </si>
  <si>
    <t>Balkone</t>
  </si>
  <si>
    <t>&gt; 80 %</t>
  </si>
  <si>
    <t>50 % - 80 %</t>
  </si>
  <si>
    <t>&lt; 50 %</t>
  </si>
  <si>
    <t>Gewerbeanteil</t>
  </si>
  <si>
    <t>bis 10 %</t>
  </si>
  <si>
    <t>gering</t>
  </si>
  <si>
    <t>über 10 %</t>
  </si>
  <si>
    <t>hoch</t>
  </si>
  <si>
    <t>Marktfähigkeit
Grundrisse</t>
  </si>
  <si>
    <t>Sanierungsstand der
Wohnungen</t>
  </si>
  <si>
    <t>innerhalb der letzten 10 Jahre sanierte Wohnungen (Anteil)</t>
  </si>
  <si>
    <t>besondere nicht erfasste Kriterien</t>
  </si>
  <si>
    <t>+/- 0,25% Punkte</t>
  </si>
  <si>
    <t>z.B. bei Smart Home; oder Elektromobilität</t>
  </si>
  <si>
    <t>3. Ergebnis des objektspezifischen Liegenschaftszinses</t>
  </si>
  <si>
    <t>Ausgangsliegenschaftszinssatz:</t>
  </si>
  <si>
    <t>Risiken/ Chancen des Marktumfeldes:</t>
  </si>
  <si>
    <t>Risiken/ Chancen des Objektes:</t>
  </si>
  <si>
    <t>besondere nicht erfasste Kriterien:</t>
  </si>
  <si>
    <t>Summe der Zu- und Abschläge</t>
  </si>
  <si>
    <t>Prüfung der Kappung des Zu- oder Abschlages</t>
  </si>
  <si>
    <t>(maximal 50 % des Ausgangsliegenschaftszinssatz)</t>
  </si>
  <si>
    <t>Ergebnis nach Kappungsprüfung</t>
  </si>
  <si>
    <t>objektspezifischer Liegenschaftszinssatz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</si>
</sst>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1]_-;\-* #,##0.00\ [$€-1]_-;_-* &quot;-&quot;??\ [$€-1]_-"/>
    <numFmt numFmtId="165" formatCode="0.0000"/>
    <numFmt numFmtId="166" formatCode="_-* #,##0\ [$€-1]_-;\-* #,##0\ [$€-1]_-;_-* &quot;-&quot;\ [$€-1]_-;_-@_-"/>
    <numFmt numFmtId="167" formatCode="_-* #,##0.00\ [$€-1]_-;\-* #,##0.00\ [$€-1]_-;_-* &quot;-&quot;??\ [$€-1]_-;_-@_-"/>
    <numFmt numFmtId="168" formatCode="#,##0.0"/>
    <numFmt numFmtId="169" formatCode="#,##0.00_ ;\-#,##0.00\ "/>
    <numFmt numFmtId="170" formatCode="#,##0.00\ &quot;€&quot;"/>
    <numFmt numFmtId="171" formatCode="0.0%"/>
    <numFmt numFmtId="172" formatCode="#,##0.000"/>
    <numFmt numFmtId="173" formatCode="0.0"/>
  </numFmts>
  <fonts count="27" x14ac:knownFonts="1">
    <font>
      <sz val="10"/>
      <name val="Arial"/>
    </font>
    <font>
      <sz val="11"/>
      <color theme="1"/>
      <name val="Calibri"/>
      <family val="2"/>
      <scheme val="minor"/>
    </font>
    <font>
      <sz val="10"/>
      <name val="Arial"/>
      <family val="2"/>
    </font>
    <font>
      <u/>
      <sz val="11"/>
      <color theme="10"/>
      <name val="Calibri"/>
      <family val="2"/>
      <scheme val="minor"/>
    </font>
    <font>
      <sz val="10"/>
      <name val="Calibri"/>
      <family val="2"/>
      <scheme val="minor"/>
    </font>
    <font>
      <b/>
      <sz val="10"/>
      <name val="Calibri"/>
      <family val="2"/>
      <scheme val="minor"/>
    </font>
    <font>
      <sz val="10"/>
      <color indexed="12"/>
      <name val="Calibri"/>
      <family val="2"/>
      <scheme val="minor"/>
    </font>
    <font>
      <u/>
      <sz val="10"/>
      <name val="Calibri"/>
      <family val="2"/>
      <scheme val="minor"/>
    </font>
    <font>
      <i/>
      <sz val="10"/>
      <name val="Calibri"/>
      <family val="2"/>
      <scheme val="minor"/>
    </font>
    <font>
      <b/>
      <sz val="10"/>
      <color rgb="FF47497D"/>
      <name val="Calibri"/>
      <family val="2"/>
      <scheme val="minor"/>
    </font>
    <font>
      <sz val="10"/>
      <color theme="0"/>
      <name val="Calibri"/>
      <family val="2"/>
      <scheme val="minor"/>
    </font>
    <font>
      <sz val="8"/>
      <name val="Calibri"/>
      <family val="2"/>
      <scheme val="minor"/>
    </font>
    <font>
      <sz val="10"/>
      <color theme="1"/>
      <name val="Calibri"/>
      <family val="2"/>
      <scheme val="minor"/>
    </font>
    <font>
      <sz val="9"/>
      <color indexed="81"/>
      <name val="Tahoma"/>
      <family val="2"/>
    </font>
    <font>
      <b/>
      <sz val="9"/>
      <color indexed="81"/>
      <name val="Tahoma"/>
      <family val="2"/>
    </font>
    <font>
      <b/>
      <sz val="10"/>
      <color theme="1"/>
      <name val="Calibri"/>
      <family val="2"/>
      <scheme val="minor"/>
    </font>
    <font>
      <u/>
      <sz val="10"/>
      <color theme="1"/>
      <name val="Calibri"/>
      <family val="2"/>
      <scheme val="minor"/>
    </font>
    <font>
      <sz val="10"/>
      <color theme="9" tint="-0.249977111117893"/>
      <name val="Calibri"/>
      <family val="2"/>
      <scheme val="minor"/>
    </font>
    <font>
      <b/>
      <u val="doubleAccounting"/>
      <sz val="10"/>
      <color theme="1"/>
      <name val="Calibri"/>
      <family val="2"/>
      <scheme val="minor"/>
    </font>
    <font>
      <i/>
      <u/>
      <sz val="10"/>
      <name val="Calibri"/>
      <family val="2"/>
      <scheme val="minor"/>
    </font>
    <font>
      <b/>
      <i/>
      <sz val="10"/>
      <color theme="1"/>
      <name val="Calibri"/>
      <family val="2"/>
      <scheme val="minor"/>
    </font>
    <font>
      <i/>
      <sz val="10"/>
      <color theme="1"/>
      <name val="Calibri"/>
      <family val="2"/>
      <scheme val="minor"/>
    </font>
    <font>
      <u/>
      <sz val="10"/>
      <color theme="10"/>
      <name val="Calibri"/>
      <family val="2"/>
      <scheme val="minor"/>
    </font>
    <font>
      <b/>
      <sz val="10"/>
      <color rgb="FFFF0000"/>
      <name val="Calibri"/>
      <family val="2"/>
      <scheme val="minor"/>
    </font>
    <font>
      <b/>
      <sz val="10"/>
      <color theme="1"/>
      <name val="Calibri"/>
      <family val="2"/>
    </font>
    <font>
      <b/>
      <sz val="9"/>
      <color indexed="81"/>
      <name val="Segoe UI"/>
      <family val="2"/>
    </font>
    <font>
      <sz val="9"/>
      <color indexed="81"/>
      <name val="Segoe UI"/>
      <family val="2"/>
    </font>
  </fonts>
  <fills count="7">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34">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double">
        <color indexed="64"/>
      </bottom>
      <diagonal/>
    </border>
  </borders>
  <cellStyleXfs count="5">
    <xf numFmtId="0" fontId="0" fillId="0" borderId="0"/>
    <xf numFmtId="164" fontId="2" fillId="0" borderId="0" applyFont="0" applyFill="0" applyBorder="0" applyAlignment="0" applyProtection="0"/>
    <xf numFmtId="0" fontId="3" fillId="0" borderId="0" applyNumberFormat="0" applyFill="0" applyBorder="0" applyAlignment="0" applyProtection="0"/>
    <xf numFmtId="9" fontId="2" fillId="0" borderId="0" applyFont="0" applyFill="0" applyBorder="0" applyAlignment="0" applyProtection="0"/>
    <xf numFmtId="0" fontId="1" fillId="0" borderId="0"/>
  </cellStyleXfs>
  <cellXfs count="224">
    <xf numFmtId="0" fontId="0" fillId="0" borderId="0" xfId="0"/>
    <xf numFmtId="0" fontId="4" fillId="0" borderId="0" xfId="0" applyFont="1"/>
    <xf numFmtId="4" fontId="9" fillId="3" borderId="0" xfId="0" applyNumberFormat="1" applyFont="1" applyFill="1" applyProtection="1">
      <protection locked="0"/>
    </xf>
    <xf numFmtId="0" fontId="9" fillId="0" borderId="0" xfId="0" applyFont="1" applyAlignment="1">
      <alignment horizontal="left"/>
    </xf>
    <xf numFmtId="14" fontId="9" fillId="3" borderId="0" xfId="0" applyNumberFormat="1" applyFont="1" applyFill="1" applyAlignment="1" applyProtection="1">
      <alignment horizontal="left"/>
      <protection locked="0"/>
    </xf>
    <xf numFmtId="14" fontId="4" fillId="4" borderId="0" xfId="0" applyNumberFormat="1" applyFont="1" applyFill="1"/>
    <xf numFmtId="0" fontId="10" fillId="0" borderId="0" xfId="0" applyFont="1" applyAlignment="1">
      <alignment horizontal="left"/>
    </xf>
    <xf numFmtId="3" fontId="9" fillId="3" borderId="0" xfId="0" applyNumberFormat="1" applyFont="1" applyFill="1" applyProtection="1">
      <protection locked="0"/>
    </xf>
    <xf numFmtId="1" fontId="9" fillId="3" borderId="0" xfId="0" applyNumberFormat="1" applyFont="1" applyFill="1" applyAlignment="1" applyProtection="1">
      <alignment horizontal="right"/>
      <protection locked="0"/>
    </xf>
    <xf numFmtId="0" fontId="4" fillId="4" borderId="0" xfId="0" applyFont="1" applyFill="1" applyAlignment="1">
      <alignment horizontal="right"/>
    </xf>
    <xf numFmtId="167" fontId="4" fillId="4" borderId="0" xfId="0" applyNumberFormat="1" applyFont="1" applyFill="1"/>
    <xf numFmtId="170" fontId="4" fillId="4" borderId="0" xfId="0" applyNumberFormat="1" applyFont="1" applyFill="1"/>
    <xf numFmtId="170" fontId="4" fillId="0" borderId="0" xfId="0" applyNumberFormat="1" applyFont="1"/>
    <xf numFmtId="4" fontId="9" fillId="2" borderId="24" xfId="0" applyNumberFormat="1" applyFont="1" applyFill="1" applyBorder="1" applyProtection="1">
      <protection locked="0"/>
    </xf>
    <xf numFmtId="14" fontId="9" fillId="2" borderId="24" xfId="0" applyNumberFormat="1" applyFont="1" applyFill="1" applyBorder="1" applyAlignment="1" applyProtection="1">
      <alignment horizontal="center"/>
      <protection locked="0"/>
    </xf>
    <xf numFmtId="0" fontId="4" fillId="3" borderId="24" xfId="0" applyFont="1" applyFill="1" applyBorder="1" applyAlignment="1" applyProtection="1">
      <alignment horizontal="right"/>
      <protection locked="0"/>
    </xf>
    <xf numFmtId="3" fontId="4" fillId="3" borderId="24" xfId="0" applyNumberFormat="1" applyFont="1" applyFill="1" applyBorder="1" applyAlignment="1" applyProtection="1">
      <alignment horizontal="right"/>
      <protection locked="0"/>
    </xf>
    <xf numFmtId="4" fontId="4" fillId="3" borderId="24" xfId="0" applyNumberFormat="1" applyFont="1" applyFill="1" applyBorder="1" applyAlignment="1" applyProtection="1">
      <alignment horizontal="right"/>
      <protection locked="0"/>
    </xf>
    <xf numFmtId="171" fontId="4" fillId="3" borderId="24" xfId="0" applyNumberFormat="1" applyFont="1" applyFill="1" applyBorder="1" applyAlignment="1" applyProtection="1">
      <alignment horizontal="right"/>
      <protection locked="0"/>
    </xf>
    <xf numFmtId="10" fontId="9" fillId="3" borderId="0" xfId="3" applyNumberFormat="1" applyFont="1" applyFill="1" applyAlignment="1" applyProtection="1">
      <alignment horizontal="right"/>
      <protection locked="0"/>
    </xf>
    <xf numFmtId="4" fontId="4" fillId="5" borderId="24" xfId="0" applyNumberFormat="1" applyFont="1" applyFill="1" applyBorder="1" applyAlignment="1">
      <alignment horizontal="right"/>
    </xf>
    <xf numFmtId="1" fontId="12" fillId="5" borderId="0" xfId="0" applyNumberFormat="1" applyFont="1" applyFill="1"/>
    <xf numFmtId="0" fontId="12" fillId="5" borderId="0" xfId="0" applyFont="1" applyFill="1"/>
    <xf numFmtId="0" fontId="9" fillId="3" borderId="0" xfId="0" applyFont="1" applyFill="1" applyProtection="1">
      <protection locked="0"/>
    </xf>
    <xf numFmtId="173" fontId="9" fillId="3" borderId="0" xfId="0" applyNumberFormat="1" applyFont="1" applyFill="1" applyProtection="1">
      <protection locked="0"/>
    </xf>
    <xf numFmtId="0" fontId="5" fillId="0" borderId="0" xfId="0" applyFont="1"/>
    <xf numFmtId="0" fontId="8" fillId="0" borderId="0" xfId="0" applyFont="1" applyAlignment="1">
      <alignment horizontal="right"/>
    </xf>
    <xf numFmtId="0" fontId="8" fillId="3" borderId="0" xfId="0" applyFont="1" applyFill="1" applyAlignment="1">
      <alignment horizontal="center"/>
    </xf>
    <xf numFmtId="0" fontId="8" fillId="0" borderId="0" xfId="0" quotePrefix="1" applyFont="1"/>
    <xf numFmtId="0" fontId="11" fillId="0" borderId="0" xfId="0" applyFont="1" applyAlignment="1">
      <alignment horizontal="right" vertical="center"/>
    </xf>
    <xf numFmtId="0" fontId="8" fillId="0" borderId="0" xfId="0" quotePrefix="1" applyFont="1" applyAlignment="1">
      <alignment horizontal="right"/>
    </xf>
    <xf numFmtId="0" fontId="8" fillId="2" borderId="0" xfId="0" applyFont="1" applyFill="1" applyAlignment="1">
      <alignment horizontal="center"/>
    </xf>
    <xf numFmtId="0" fontId="8" fillId="5" borderId="0" xfId="0" applyFont="1" applyFill="1" applyAlignment="1">
      <alignment horizontal="center"/>
    </xf>
    <xf numFmtId="0" fontId="8" fillId="6" borderId="0" xfId="0" applyFont="1" applyFill="1" applyAlignment="1">
      <alignment horizontal="center"/>
    </xf>
    <xf numFmtId="0" fontId="4" fillId="0" borderId="0" xfId="0" applyFont="1" applyAlignment="1">
      <alignment horizontal="right"/>
    </xf>
    <xf numFmtId="14" fontId="9" fillId="4" borderId="0" xfId="0" applyNumberFormat="1" applyFont="1" applyFill="1" applyAlignment="1">
      <alignment horizontal="left"/>
    </xf>
    <xf numFmtId="0" fontId="7" fillId="0" borderId="0" xfId="0" applyFont="1"/>
    <xf numFmtId="169" fontId="12" fillId="5" borderId="0" xfId="0" applyNumberFormat="1" applyFont="1" applyFill="1"/>
    <xf numFmtId="167" fontId="4" fillId="0" borderId="0" xfId="0" applyNumberFormat="1" applyFont="1"/>
    <xf numFmtId="169" fontId="4" fillId="0" borderId="0" xfId="0" applyNumberFormat="1" applyFont="1"/>
    <xf numFmtId="0" fontId="4" fillId="0" borderId="0" xfId="0" applyFont="1" applyAlignment="1">
      <alignment horizontal="left"/>
    </xf>
    <xf numFmtId="0" fontId="5" fillId="0" borderId="24" xfId="0" applyFont="1" applyBorder="1" applyAlignment="1">
      <alignment horizontal="center" vertical="center" wrapText="1"/>
    </xf>
    <xf numFmtId="0" fontId="4" fillId="4" borderId="0" xfId="0" applyFont="1" applyFill="1"/>
    <xf numFmtId="3" fontId="4" fillId="0" borderId="0" xfId="0" applyNumberFormat="1" applyFont="1"/>
    <xf numFmtId="0" fontId="5" fillId="5" borderId="24" xfId="0" applyFont="1" applyFill="1" applyBorder="1" applyAlignment="1">
      <alignment horizontal="center"/>
    </xf>
    <xf numFmtId="0" fontId="4" fillId="0" borderId="0" xfId="0" applyFont="1" applyAlignment="1">
      <alignment horizontal="center"/>
    </xf>
    <xf numFmtId="0" fontId="5" fillId="4" borderId="0" xfId="0" applyFont="1" applyFill="1"/>
    <xf numFmtId="14" fontId="15" fillId="5" borderId="0" xfId="0" applyNumberFormat="1" applyFont="1" applyFill="1" applyAlignment="1">
      <alignment horizontal="left"/>
    </xf>
    <xf numFmtId="0" fontId="15" fillId="4" borderId="0" xfId="0" applyFont="1" applyFill="1" applyAlignment="1">
      <alignment horizontal="left"/>
    </xf>
    <xf numFmtId="0" fontId="5" fillId="4" borderId="28" xfId="0" applyFont="1" applyFill="1" applyBorder="1"/>
    <xf numFmtId="0" fontId="5" fillId="4" borderId="29" xfId="0" applyFont="1" applyFill="1" applyBorder="1" applyAlignment="1">
      <alignment horizontal="right"/>
    </xf>
    <xf numFmtId="4" fontId="5" fillId="5" borderId="24" xfId="0" applyNumberFormat="1" applyFont="1" applyFill="1" applyBorder="1" applyAlignment="1">
      <alignment horizontal="right"/>
    </xf>
    <xf numFmtId="3" fontId="4" fillId="5" borderId="24" xfId="0" applyNumberFormat="1" applyFont="1" applyFill="1" applyBorder="1" applyAlignment="1">
      <alignment horizontal="center"/>
    </xf>
    <xf numFmtId="172" fontId="4" fillId="5" borderId="24" xfId="0" applyNumberFormat="1" applyFont="1" applyFill="1" applyBorder="1" applyAlignment="1">
      <alignment horizontal="center"/>
    </xf>
    <xf numFmtId="4" fontId="5" fillId="5" borderId="24" xfId="0" applyNumberFormat="1" applyFont="1" applyFill="1" applyBorder="1"/>
    <xf numFmtId="4" fontId="5" fillId="4" borderId="24" xfId="0" applyNumberFormat="1" applyFont="1" applyFill="1" applyBorder="1"/>
    <xf numFmtId="165" fontId="4" fillId="0" borderId="0" xfId="0" applyNumberFormat="1" applyFont="1"/>
    <xf numFmtId="49" fontId="15" fillId="0" borderId="0" xfId="0" applyNumberFormat="1" applyFont="1"/>
    <xf numFmtId="0" fontId="15" fillId="0" borderId="0" xfId="0" applyFont="1"/>
    <xf numFmtId="0" fontId="12" fillId="0" borderId="0" xfId="0" applyFont="1"/>
    <xf numFmtId="0" fontId="12" fillId="0" borderId="0" xfId="0" applyFont="1" applyAlignment="1">
      <alignment horizontal="right"/>
    </xf>
    <xf numFmtId="0" fontId="15" fillId="5" borderId="0" xfId="0" applyFont="1" applyFill="1"/>
    <xf numFmtId="49" fontId="12" fillId="0" borderId="0" xfId="0" applyNumberFormat="1" applyFont="1"/>
    <xf numFmtId="4" fontId="12" fillId="5" borderId="0" xfId="0" applyNumberFormat="1" applyFont="1" applyFill="1"/>
    <xf numFmtId="4" fontId="12" fillId="0" borderId="0" xfId="0" applyNumberFormat="1" applyFont="1"/>
    <xf numFmtId="0" fontId="3" fillId="0" borderId="0" xfId="2" applyProtection="1"/>
    <xf numFmtId="0" fontId="15" fillId="0" borderId="0" xfId="0" applyFont="1" applyAlignment="1">
      <alignment horizontal="right"/>
    </xf>
    <xf numFmtId="4" fontId="15" fillId="5" borderId="0" xfId="0" applyNumberFormat="1" applyFont="1" applyFill="1"/>
    <xf numFmtId="4" fontId="15" fillId="0" borderId="0" xfId="0" applyNumberFormat="1" applyFont="1"/>
    <xf numFmtId="49" fontId="12" fillId="0" borderId="0" xfId="0" applyNumberFormat="1" applyFont="1" applyAlignment="1">
      <alignment horizontal="right"/>
    </xf>
    <xf numFmtId="0" fontId="15" fillId="0" borderId="0" xfId="0" applyFont="1" applyAlignment="1">
      <alignment horizontal="center"/>
    </xf>
    <xf numFmtId="168" fontId="12" fillId="0" borderId="0" xfId="0" applyNumberFormat="1" applyFont="1"/>
    <xf numFmtId="4" fontId="16" fillId="5" borderId="0" xfId="0" applyNumberFormat="1" applyFont="1" applyFill="1" applyAlignment="1">
      <alignment horizontal="center"/>
    </xf>
    <xf numFmtId="0" fontId="4" fillId="5" borderId="0" xfId="0" applyFont="1" applyFill="1" applyAlignment="1">
      <alignment horizontal="center"/>
    </xf>
    <xf numFmtId="0" fontId="12" fillId="0" borderId="0" xfId="0" applyFont="1" applyAlignment="1">
      <alignment horizontal="center"/>
    </xf>
    <xf numFmtId="0" fontId="12" fillId="0" borderId="0" xfId="0" applyFont="1" applyAlignment="1">
      <alignment horizontal="left"/>
    </xf>
    <xf numFmtId="173" fontId="12" fillId="0" borderId="0" xfId="0" applyNumberFormat="1" applyFont="1"/>
    <xf numFmtId="0" fontId="15" fillId="0" borderId="0" xfId="0" applyFont="1" applyAlignment="1">
      <alignment horizontal="left"/>
    </xf>
    <xf numFmtId="4" fontId="12" fillId="0" borderId="0" xfId="0" applyNumberFormat="1" applyFont="1" applyAlignment="1">
      <alignment horizontal="center"/>
    </xf>
    <xf numFmtId="4" fontId="15" fillId="5" borderId="7" xfId="0" applyNumberFormat="1" applyFont="1" applyFill="1" applyBorder="1"/>
    <xf numFmtId="0" fontId="4" fillId="0" borderId="0" xfId="0" applyFont="1" applyAlignment="1">
      <alignment horizontal="right" vertical="center"/>
    </xf>
    <xf numFmtId="0" fontId="6" fillId="0" borderId="0" xfId="0" applyFont="1"/>
    <xf numFmtId="0" fontId="5"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4" fillId="0" borderId="17" xfId="0" applyFont="1" applyBorder="1" applyAlignment="1">
      <alignment horizontal="center"/>
    </xf>
    <xf numFmtId="0" fontId="4" fillId="0" borderId="11" xfId="0" applyFont="1" applyBorder="1" applyAlignment="1">
      <alignment horizontal="center"/>
    </xf>
    <xf numFmtId="4" fontId="4" fillId="5" borderId="4" xfId="0" applyNumberFormat="1" applyFont="1" applyFill="1" applyBorder="1"/>
    <xf numFmtId="0" fontId="4" fillId="0" borderId="2" xfId="0" applyFont="1" applyBorder="1"/>
    <xf numFmtId="0" fontId="4" fillId="0" borderId="18" xfId="0" applyFont="1" applyBorder="1"/>
    <xf numFmtId="4" fontId="4" fillId="5" borderId="19" xfId="0" applyNumberFormat="1" applyFont="1" applyFill="1" applyBorder="1"/>
    <xf numFmtId="0" fontId="4" fillId="0" borderId="1" xfId="0" applyFont="1" applyBorder="1" applyAlignment="1">
      <alignment horizontal="center"/>
    </xf>
    <xf numFmtId="4" fontId="4" fillId="5" borderId="5" xfId="0" applyNumberFormat="1" applyFont="1" applyFill="1" applyBorder="1"/>
    <xf numFmtId="4" fontId="4" fillId="5" borderId="3" xfId="0" applyNumberFormat="1" applyFont="1" applyFill="1" applyBorder="1"/>
    <xf numFmtId="2" fontId="4" fillId="5" borderId="3" xfId="0" applyNumberFormat="1" applyFont="1" applyFill="1" applyBorder="1"/>
    <xf numFmtId="4" fontId="4" fillId="5" borderId="23" xfId="0" applyNumberFormat="1" applyFont="1" applyFill="1" applyBorder="1"/>
    <xf numFmtId="0" fontId="5" fillId="0" borderId="13" xfId="0" applyFont="1" applyBorder="1" applyAlignment="1">
      <alignment horizontal="center"/>
    </xf>
    <xf numFmtId="0" fontId="5" fillId="0" borderId="14" xfId="0" applyFont="1" applyBorder="1" applyAlignment="1">
      <alignment horizontal="center"/>
    </xf>
    <xf numFmtId="4" fontId="5" fillId="5" borderId="15" xfId="0" applyNumberFormat="1" applyFont="1" applyFill="1" applyBorder="1"/>
    <xf numFmtId="4" fontId="5" fillId="5" borderId="20" xfId="0" applyNumberFormat="1" applyFont="1" applyFill="1" applyBorder="1"/>
    <xf numFmtId="2" fontId="5" fillId="5" borderId="20" xfId="0" applyNumberFormat="1" applyFont="1" applyFill="1" applyBorder="1"/>
    <xf numFmtId="4" fontId="5" fillId="5" borderId="16" xfId="0" applyNumberFormat="1" applyFont="1" applyFill="1" applyBorder="1"/>
    <xf numFmtId="4" fontId="5" fillId="0" borderId="0" xfId="0" applyNumberFormat="1" applyFont="1"/>
    <xf numFmtId="2" fontId="5" fillId="0" borderId="0" xfId="0" applyNumberFormat="1" applyFont="1"/>
    <xf numFmtId="0" fontId="8" fillId="0" borderId="0" xfId="0" applyFont="1"/>
    <xf numFmtId="0" fontId="12" fillId="5" borderId="0" xfId="0" applyFont="1" applyFill="1" applyAlignment="1">
      <alignment horizontal="center"/>
    </xf>
    <xf numFmtId="4" fontId="12" fillId="5" borderId="1" xfId="0" applyNumberFormat="1" applyFont="1" applyFill="1" applyBorder="1"/>
    <xf numFmtId="4" fontId="15" fillId="5" borderId="33" xfId="0" applyNumberFormat="1" applyFont="1" applyFill="1" applyBorder="1"/>
    <xf numFmtId="4" fontId="15" fillId="5" borderId="33" xfId="1" applyNumberFormat="1" applyFont="1" applyFill="1" applyBorder="1" applyProtection="1"/>
    <xf numFmtId="4" fontId="18" fillId="0" borderId="0" xfId="1" applyNumberFormat="1" applyFont="1" applyFill="1" applyProtection="1"/>
    <xf numFmtId="0" fontId="17" fillId="0" borderId="0" xfId="0" applyFont="1"/>
    <xf numFmtId="4" fontId="15" fillId="5" borderId="7" xfId="1" applyNumberFormat="1" applyFont="1" applyFill="1" applyBorder="1" applyProtection="1"/>
    <xf numFmtId="166" fontId="18" fillId="0" borderId="0" xfId="1" applyNumberFormat="1" applyFont="1" applyFill="1" applyProtection="1"/>
    <xf numFmtId="0" fontId="12" fillId="0" borderId="0" xfId="0" quotePrefix="1" applyFont="1"/>
    <xf numFmtId="0" fontId="3" fillId="0" borderId="0" xfId="2" applyProtection="1">
      <protection locked="0"/>
    </xf>
    <xf numFmtId="0" fontId="5" fillId="0" borderId="30" xfId="0" applyFont="1" applyBorder="1"/>
    <xf numFmtId="0" fontId="9" fillId="3" borderId="0" xfId="0" applyFont="1" applyFill="1" applyAlignment="1" applyProtection="1">
      <alignment horizontal="left"/>
      <protection locked="0"/>
    </xf>
    <xf numFmtId="0" fontId="9" fillId="2" borderId="24" xfId="0" applyFont="1" applyFill="1" applyBorder="1" applyAlignment="1" applyProtection="1">
      <alignment horizontal="center"/>
      <protection locked="0"/>
    </xf>
    <xf numFmtId="0" fontId="5" fillId="0" borderId="2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2" borderId="25" xfId="0" applyFont="1" applyFill="1" applyBorder="1" applyAlignment="1" applyProtection="1">
      <alignment horizontal="center"/>
      <protection locked="0"/>
    </xf>
    <xf numFmtId="0" fontId="9" fillId="2" borderId="27" xfId="0" applyFont="1" applyFill="1" applyBorder="1" applyAlignment="1" applyProtection="1">
      <alignment horizontal="center"/>
      <protection locked="0"/>
    </xf>
    <xf numFmtId="0" fontId="9" fillId="2" borderId="26" xfId="0" applyFont="1" applyFill="1" applyBorder="1" applyAlignment="1" applyProtection="1">
      <alignment horizontal="center"/>
      <protection locked="0"/>
    </xf>
    <xf numFmtId="0" fontId="9" fillId="3" borderId="0" xfId="0" applyFont="1" applyFill="1" applyAlignment="1" applyProtection="1">
      <alignment horizontal="left"/>
      <protection locked="0"/>
    </xf>
    <xf numFmtId="0" fontId="5" fillId="0" borderId="24" xfId="0" applyFont="1" applyBorder="1" applyAlignment="1">
      <alignment horizontal="center" wrapText="1"/>
    </xf>
    <xf numFmtId="0" fontId="12" fillId="5" borderId="0" xfId="0" applyFont="1" applyFill="1" applyAlignment="1">
      <alignment horizontal="left"/>
    </xf>
    <xf numFmtId="0" fontId="5" fillId="0" borderId="18"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4" fontId="5" fillId="5" borderId="31" xfId="0" applyNumberFormat="1" applyFont="1" applyFill="1" applyBorder="1" applyAlignment="1">
      <alignment horizontal="right"/>
    </xf>
    <xf numFmtId="4" fontId="5" fillId="5" borderId="32" xfId="0" applyNumberFormat="1" applyFont="1" applyFill="1" applyBorder="1" applyAlignment="1">
      <alignment horizontal="right"/>
    </xf>
    <xf numFmtId="0" fontId="15" fillId="5" borderId="0" xfId="0" applyFont="1" applyFill="1" applyAlignment="1">
      <alignment horizontal="left"/>
    </xf>
    <xf numFmtId="0" fontId="15" fillId="0" borderId="0" xfId="0" applyFont="1" applyAlignment="1">
      <alignment horizontal="right"/>
    </xf>
    <xf numFmtId="0" fontId="16" fillId="0" borderId="0" xfId="0" applyFont="1" applyAlignment="1">
      <alignment horizontal="center"/>
    </xf>
    <xf numFmtId="0" fontId="4" fillId="0" borderId="0" xfId="0" applyFont="1" applyAlignment="1">
      <alignment horizontal="center"/>
    </xf>
    <xf numFmtId="0" fontId="12" fillId="0" borderId="0" xfId="0" applyFont="1" applyAlignment="1">
      <alignment horizontal="center"/>
    </xf>
    <xf numFmtId="0" fontId="15" fillId="0" borderId="0" xfId="0" applyFont="1" applyAlignment="1">
      <alignment horizontal="left" vertical="center" wrapText="1"/>
    </xf>
    <xf numFmtId="0" fontId="15" fillId="0" borderId="0" xfId="0" applyFont="1" applyAlignment="1">
      <alignment horizontal="right" vertical="center" wrapText="1"/>
    </xf>
    <xf numFmtId="4" fontId="12" fillId="5" borderId="0" xfId="0" applyNumberFormat="1" applyFont="1" applyFill="1" applyAlignment="1">
      <alignment horizontal="center" vertical="center"/>
    </xf>
    <xf numFmtId="0" fontId="12" fillId="0" borderId="0" xfId="0" applyFont="1" applyAlignment="1">
      <alignment horizontal="left" vertical="center"/>
    </xf>
    <xf numFmtId="0" fontId="15" fillId="0" borderId="0" xfId="0" applyFont="1" applyAlignment="1">
      <alignment horizontal="center" vertical="center"/>
    </xf>
    <xf numFmtId="4" fontId="12" fillId="5" borderId="0" xfId="0" applyNumberFormat="1" applyFont="1" applyFill="1" applyAlignment="1">
      <alignment horizontal="center" vertical="center" wrapText="1"/>
    </xf>
    <xf numFmtId="0" fontId="20" fillId="5" borderId="0" xfId="0" quotePrefix="1" applyFont="1" applyFill="1" applyAlignment="1">
      <alignment horizontal="left"/>
    </xf>
    <xf numFmtId="0" fontId="4" fillId="2" borderId="0" xfId="0" applyFont="1" applyFill="1" applyAlignment="1" applyProtection="1">
      <alignment horizontal="left"/>
      <protection locked="0"/>
    </xf>
    <xf numFmtId="49" fontId="15" fillId="5" borderId="0" xfId="0" applyNumberFormat="1" applyFont="1" applyFill="1" applyAlignment="1">
      <alignment horizontal="left"/>
    </xf>
    <xf numFmtId="0" fontId="5" fillId="0" borderId="0" xfId="0" applyFont="1" applyAlignment="1">
      <alignment horizontal="left"/>
    </xf>
    <xf numFmtId="0" fontId="4" fillId="0" borderId="21" xfId="0" applyFont="1" applyBorder="1" applyAlignment="1">
      <alignment horizontal="center"/>
    </xf>
    <xf numFmtId="0" fontId="4" fillId="0" borderId="22" xfId="0" applyFont="1" applyBorder="1" applyAlignment="1">
      <alignment horizontal="center"/>
    </xf>
    <xf numFmtId="0" fontId="15" fillId="0" borderId="0" xfId="4" applyFont="1"/>
    <xf numFmtId="0" fontId="12" fillId="0" borderId="0" xfId="4" applyFont="1"/>
    <xf numFmtId="0" fontId="12" fillId="0" borderId="0" xfId="4" applyFont="1" applyFill="1"/>
    <xf numFmtId="0" fontId="12" fillId="0" borderId="0" xfId="4" applyFont="1" applyAlignment="1">
      <alignment horizontal="left"/>
    </xf>
    <xf numFmtId="173" fontId="9" fillId="3" borderId="0" xfId="4" applyNumberFormat="1" applyFont="1" applyFill="1" applyBorder="1" applyAlignment="1" applyProtection="1">
      <alignment horizontal="center"/>
      <protection locked="0"/>
    </xf>
    <xf numFmtId="0" fontId="21" fillId="0" borderId="0" xfId="4" applyFont="1"/>
    <xf numFmtId="0" fontId="21" fillId="6" borderId="0" xfId="4" applyFont="1" applyFill="1"/>
    <xf numFmtId="0" fontId="12" fillId="6" borderId="0" xfId="4" applyFont="1" applyFill="1"/>
    <xf numFmtId="0" fontId="15" fillId="0" borderId="0" xfId="4" applyFont="1" applyAlignment="1">
      <alignment horizontal="left" wrapText="1"/>
    </xf>
    <xf numFmtId="0" fontId="15" fillId="0" borderId="0" xfId="4" applyFont="1" applyAlignment="1">
      <alignment horizontal="center"/>
    </xf>
    <xf numFmtId="0" fontId="15" fillId="0" borderId="0" xfId="4" applyFont="1" applyAlignment="1">
      <alignment horizontal="left"/>
    </xf>
    <xf numFmtId="0" fontId="12" fillId="0" borderId="0" xfId="4" applyFont="1" applyFill="1" applyBorder="1"/>
    <xf numFmtId="0" fontId="20" fillId="0" borderId="0" xfId="4" applyFont="1"/>
    <xf numFmtId="0" fontId="21" fillId="0" borderId="0" xfId="4" applyFont="1" applyBorder="1" applyAlignment="1">
      <alignment horizontal="left" vertical="top" wrapText="1"/>
    </xf>
    <xf numFmtId="0" fontId="12" fillId="0" borderId="0" xfId="4" applyFont="1" applyBorder="1"/>
    <xf numFmtId="0" fontId="9" fillId="3" borderId="0" xfId="4" applyFont="1" applyFill="1" applyBorder="1" applyAlignment="1" applyProtection="1">
      <alignment horizontal="center"/>
      <protection locked="0"/>
    </xf>
    <xf numFmtId="0" fontId="23" fillId="0" borderId="0" xfId="4" applyFont="1" applyFill="1" applyBorder="1" applyAlignment="1">
      <alignment horizontal="left" vertical="center" wrapText="1"/>
    </xf>
    <xf numFmtId="0" fontId="21" fillId="0" borderId="1" xfId="4" applyFont="1" applyBorder="1" applyAlignment="1">
      <alignment horizontal="left" vertical="top" wrapText="1"/>
    </xf>
    <xf numFmtId="0" fontId="12" fillId="0" borderId="1" xfId="4" applyFont="1" applyBorder="1"/>
    <xf numFmtId="0" fontId="9" fillId="3" borderId="1" xfId="4" applyFont="1" applyFill="1" applyBorder="1" applyAlignment="1" applyProtection="1">
      <alignment horizontal="center"/>
      <protection locked="0"/>
    </xf>
    <xf numFmtId="3" fontId="12" fillId="0" borderId="0" xfId="4" applyNumberFormat="1" applyFont="1"/>
    <xf numFmtId="0" fontId="12" fillId="0" borderId="0" xfId="4" applyFont="1" applyBorder="1" applyAlignment="1">
      <alignment horizontal="left" vertical="top" wrapText="1"/>
    </xf>
    <xf numFmtId="0" fontId="21" fillId="0" borderId="0" xfId="4" applyFont="1" applyBorder="1" applyAlignment="1">
      <alignment horizontal="left" vertical="center" wrapText="1"/>
    </xf>
    <xf numFmtId="0" fontId="12" fillId="0" borderId="1" xfId="4" applyFont="1" applyBorder="1" applyAlignment="1">
      <alignment horizontal="left" vertical="top" wrapText="1"/>
    </xf>
    <xf numFmtId="0" fontId="21" fillId="0" borderId="1" xfId="4" applyFont="1" applyBorder="1" applyAlignment="1">
      <alignment horizontal="left" vertical="center" wrapText="1"/>
    </xf>
    <xf numFmtId="0" fontId="21" fillId="0" borderId="0" xfId="4" applyFont="1" applyBorder="1" applyAlignment="1">
      <alignment vertical="center"/>
    </xf>
    <xf numFmtId="0" fontId="21" fillId="0" borderId="0" xfId="4" applyFont="1" applyBorder="1" applyAlignment="1">
      <alignment vertical="center" wrapText="1"/>
    </xf>
    <xf numFmtId="0" fontId="21" fillId="0" borderId="1" xfId="4" applyFont="1" applyBorder="1" applyAlignment="1">
      <alignment vertical="center"/>
    </xf>
    <xf numFmtId="0" fontId="21" fillId="0" borderId="1" xfId="4" applyFont="1" applyBorder="1" applyAlignment="1">
      <alignment vertical="center" wrapText="1"/>
    </xf>
    <xf numFmtId="0" fontId="12" fillId="0" borderId="0" xfId="4" applyFont="1" applyBorder="1" applyAlignment="1">
      <alignment vertical="top" wrapText="1"/>
    </xf>
    <xf numFmtId="0" fontId="21" fillId="0" borderId="0" xfId="4" applyFont="1" applyBorder="1" applyAlignment="1">
      <alignment vertical="top" wrapText="1"/>
    </xf>
    <xf numFmtId="0" fontId="21" fillId="0" borderId="1" xfId="4" applyFont="1" applyBorder="1" applyAlignment="1">
      <alignment vertical="top" wrapText="1"/>
    </xf>
    <xf numFmtId="10" fontId="12" fillId="0" borderId="0" xfId="4" applyNumberFormat="1" applyFont="1"/>
    <xf numFmtId="0" fontId="24" fillId="0" borderId="0" xfId="4" applyFont="1"/>
    <xf numFmtId="0" fontId="23" fillId="0" borderId="0" xfId="4" applyFont="1" applyFill="1" applyBorder="1" applyAlignment="1">
      <alignment horizontal="left" wrapText="1"/>
    </xf>
    <xf numFmtId="0" fontId="12" fillId="0" borderId="0" xfId="4" applyFont="1" applyAlignment="1">
      <alignment horizontal="left"/>
    </xf>
    <xf numFmtId="0" fontId="12" fillId="0" borderId="0" xfId="4" quotePrefix="1" applyFont="1" applyAlignment="1">
      <alignment horizontal="left" vertical="center"/>
    </xf>
    <xf numFmtId="2" fontId="12" fillId="3" borderId="0" xfId="4" applyNumberFormat="1" applyFont="1" applyFill="1" applyAlignment="1" applyProtection="1">
      <alignment horizontal="right" vertical="center"/>
      <protection locked="0"/>
    </xf>
    <xf numFmtId="0" fontId="12" fillId="0" borderId="1" xfId="4" quotePrefix="1" applyFont="1" applyBorder="1" applyAlignment="1">
      <alignment horizontal="left" vertical="center"/>
    </xf>
    <xf numFmtId="2" fontId="12" fillId="3" borderId="1" xfId="4" applyNumberFormat="1" applyFont="1" applyFill="1" applyBorder="1" applyAlignment="1" applyProtection="1">
      <alignment horizontal="right" vertical="center"/>
      <protection locked="0"/>
    </xf>
    <xf numFmtId="0" fontId="21" fillId="0" borderId="0" xfId="4" applyFont="1" applyAlignment="1">
      <alignment horizontal="left" indent="1"/>
    </xf>
    <xf numFmtId="0" fontId="21" fillId="0" borderId="0" xfId="4" applyFont="1" applyFill="1"/>
    <xf numFmtId="0" fontId="15" fillId="0" borderId="0" xfId="4" applyFont="1" applyAlignment="1">
      <alignment horizontal="left" indent="1"/>
    </xf>
    <xf numFmtId="0" fontId="12" fillId="0" borderId="0" xfId="4" applyFont="1" applyAlignment="1">
      <alignment horizontal="left" indent="1"/>
    </xf>
    <xf numFmtId="0" fontId="15" fillId="5" borderId="0" xfId="4" applyFont="1" applyFill="1" applyAlignment="1"/>
    <xf numFmtId="0" fontId="15" fillId="5" borderId="0" xfId="4" applyFont="1" applyFill="1" applyAlignment="1">
      <alignment horizontal="left"/>
    </xf>
    <xf numFmtId="14" fontId="15" fillId="5" borderId="0" xfId="4" applyNumberFormat="1" applyFont="1" applyFill="1" applyAlignment="1">
      <alignment horizontal="left"/>
    </xf>
    <xf numFmtId="3" fontId="12" fillId="5" borderId="0" xfId="4" applyNumberFormat="1" applyFont="1" applyFill="1" applyBorder="1"/>
    <xf numFmtId="0" fontId="12" fillId="5" borderId="0" xfId="4" applyFont="1" applyFill="1"/>
    <xf numFmtId="0" fontId="12" fillId="5" borderId="0" xfId="4" applyFont="1" applyFill="1" applyBorder="1" applyAlignment="1">
      <alignment horizontal="center"/>
    </xf>
    <xf numFmtId="3" fontId="12" fillId="5" borderId="1" xfId="4" applyNumberFormat="1" applyFont="1" applyFill="1" applyBorder="1"/>
    <xf numFmtId="0" fontId="12" fillId="5" borderId="1" xfId="4" applyFont="1" applyFill="1" applyBorder="1"/>
    <xf numFmtId="0" fontId="12" fillId="5" borderId="1" xfId="4" applyFont="1" applyFill="1" applyBorder="1" applyAlignment="1">
      <alignment horizontal="center"/>
    </xf>
    <xf numFmtId="3" fontId="15" fillId="5" borderId="0" xfId="4" applyNumberFormat="1" applyFont="1" applyFill="1" applyBorder="1"/>
    <xf numFmtId="0" fontId="15" fillId="5" borderId="0" xfId="4" applyFont="1" applyFill="1"/>
    <xf numFmtId="2" fontId="12" fillId="5" borderId="0" xfId="4" applyNumberFormat="1" applyFont="1" applyFill="1"/>
    <xf numFmtId="0" fontId="12" fillId="5" borderId="0" xfId="4" applyFont="1" applyFill="1" applyAlignment="1">
      <alignment horizontal="left" vertical="center"/>
    </xf>
    <xf numFmtId="0" fontId="12" fillId="5" borderId="1" xfId="4" applyFont="1" applyFill="1" applyBorder="1" applyAlignment="1">
      <alignment horizontal="left" vertical="center"/>
    </xf>
    <xf numFmtId="2" fontId="21" fillId="5" borderId="0" xfId="4" applyNumberFormat="1" applyFont="1" applyFill="1"/>
    <xf numFmtId="0" fontId="21" fillId="5" borderId="0" xfId="4" applyFont="1" applyFill="1"/>
    <xf numFmtId="2" fontId="15" fillId="5" borderId="0" xfId="4" applyNumberFormat="1" applyFont="1" applyFill="1"/>
    <xf numFmtId="2" fontId="20" fillId="5" borderId="0" xfId="4" applyNumberFormat="1" applyFont="1" applyFill="1"/>
    <xf numFmtId="2" fontId="15" fillId="5" borderId="0" xfId="4" applyNumberFormat="1" applyFont="1" applyFill="1" applyAlignment="1">
      <alignment horizontal="center" vertical="center" wrapText="1"/>
    </xf>
    <xf numFmtId="0" fontId="12" fillId="5" borderId="0" xfId="4" applyFont="1" applyFill="1" applyBorder="1" applyAlignment="1" applyProtection="1">
      <alignment horizontal="center"/>
      <protection locked="0"/>
    </xf>
    <xf numFmtId="0" fontId="12" fillId="5" borderId="1" xfId="4" applyFont="1" applyFill="1" applyBorder="1" applyAlignment="1" applyProtection="1">
      <alignment horizontal="center"/>
      <protection locked="0"/>
    </xf>
    <xf numFmtId="0" fontId="12" fillId="0" borderId="0" xfId="4" applyFont="1" applyProtection="1"/>
    <xf numFmtId="0" fontId="9" fillId="0" borderId="0" xfId="4" applyFont="1" applyFill="1" applyAlignment="1" applyProtection="1">
      <alignment horizontal="left"/>
    </xf>
    <xf numFmtId="0" fontId="12" fillId="0" borderId="0" xfId="4" applyFont="1" applyAlignment="1" applyProtection="1">
      <alignment horizontal="center"/>
    </xf>
    <xf numFmtId="0" fontId="12" fillId="0" borderId="1" xfId="4" applyFont="1" applyBorder="1" applyAlignment="1" applyProtection="1">
      <alignment horizontal="center"/>
    </xf>
    <xf numFmtId="0" fontId="22" fillId="6" borderId="0" xfId="2" applyFont="1" applyFill="1" applyProtection="1">
      <protection locked="0"/>
    </xf>
  </cellXfs>
  <cellStyles count="5">
    <cellStyle name="Euro" xfId="1"/>
    <cellStyle name="Link" xfId="2" builtinId="8"/>
    <cellStyle name="Prozent" xfId="3" builtinId="5"/>
    <cellStyle name="Standard" xfId="0" builtinId="0"/>
    <cellStyle name="Standard 2" xfId="4"/>
  </cellStyles>
  <dxfs count="22">
    <dxf>
      <font>
        <b/>
        <i val="0"/>
        <color rgb="FFFF0000"/>
      </font>
    </dxf>
    <dxf>
      <fill>
        <patternFill>
          <bgColor rgb="FFFFFF00"/>
        </patternFill>
      </fill>
    </dxf>
    <dxf>
      <font>
        <strike/>
      </font>
    </dxf>
    <dxf>
      <fill>
        <patternFill patternType="lightGrid"/>
      </fill>
    </dxf>
    <dxf>
      <font>
        <strike/>
      </font>
    </dxf>
    <dxf>
      <fill>
        <patternFill patternType="lightGrid"/>
      </fill>
    </dxf>
    <dxf>
      <font>
        <b/>
        <i val="0"/>
        <color rgb="FF9E0000"/>
      </font>
    </dxf>
    <dxf>
      <font>
        <b/>
        <i val="0"/>
        <color rgb="FF9E0000"/>
      </font>
    </dxf>
    <dxf>
      <font>
        <b/>
        <i val="0"/>
        <color rgb="FF9E0000"/>
      </font>
    </dxf>
    <dxf>
      <font>
        <b/>
        <i val="0"/>
        <color rgb="FF9E0000"/>
      </font>
    </dxf>
    <dxf>
      <font>
        <b/>
        <i val="0"/>
        <color rgb="FF9E0000"/>
      </font>
    </dxf>
    <dxf>
      <font>
        <b/>
        <i val="0"/>
        <color rgb="FF006C31"/>
      </font>
    </dxf>
    <dxf>
      <font>
        <b/>
        <i val="0"/>
        <color rgb="FF006C31"/>
      </font>
    </dxf>
    <dxf>
      <font>
        <b/>
        <i val="0"/>
        <color rgb="FF9E0000"/>
      </font>
    </dxf>
    <dxf>
      <font>
        <b/>
        <i val="0"/>
        <color rgb="FF006C31"/>
      </font>
    </dxf>
    <dxf>
      <fill>
        <patternFill patternType="lightGrid"/>
      </fill>
    </dxf>
    <dxf>
      <fill>
        <patternFill>
          <bgColor rgb="FFFFFF00"/>
        </patternFill>
      </fill>
    </dxf>
    <dxf>
      <font>
        <b/>
        <i val="0"/>
        <strike val="0"/>
        <color rgb="FF006C31"/>
      </font>
    </dxf>
    <dxf>
      <font>
        <b/>
        <i val="0"/>
        <strike val="0"/>
        <color rgb="FF9E0000"/>
      </font>
    </dxf>
    <dxf>
      <font>
        <b/>
        <i val="0"/>
        <color rgb="FF9E0000"/>
      </font>
    </dxf>
    <dxf>
      <font>
        <b/>
        <i val="0"/>
        <color rgb="FF006C31"/>
      </font>
    </dxf>
    <dxf>
      <fill>
        <patternFill>
          <bgColor rgb="FFFFFF00"/>
        </patternFill>
      </fill>
    </dxf>
  </dxfs>
  <tableStyles count="0" defaultTableStyle="TableStyleMedium2" defaultPivotStyle="PivotStyleLight16"/>
  <colors>
    <mruColors>
      <color rgb="FF47497D"/>
      <color rgb="FFCCFFCC"/>
      <color rgb="FF9E0000"/>
      <color rgb="FF006C3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198120</xdr:colOff>
      <xdr:row>0</xdr:row>
      <xdr:rowOff>0</xdr:rowOff>
    </xdr:from>
    <xdr:to>
      <xdr:col>7</xdr:col>
      <xdr:colOff>289560</xdr:colOff>
      <xdr:row>4</xdr:row>
      <xdr:rowOff>22860</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1264920" y="0"/>
          <a:ext cx="4251960" cy="7239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s://www.bundesanzeiger-verlag.de/fileadmin/BIV-Portal/Dokumente/PDF/Sachwertrichtlinie.pdf" TargetMode="External"/><Relationship Id="rId1" Type="http://schemas.openxmlformats.org/officeDocument/2006/relationships/hyperlink" Target="http://www.thueringen.de/th9/tlvermgeo/geoinformation/bodenmanagement/boris_th/"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bin"/><Relationship Id="rId1" Type="http://schemas.openxmlformats.org/officeDocument/2006/relationships/hyperlink" Target="https://tlbg.thueringen.de/wertermittlung/berichte-zum-grundstuecksmarkt"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4.bin"/><Relationship Id="rId1" Type="http://schemas.openxmlformats.org/officeDocument/2006/relationships/hyperlink" Target="https://www.destatis.de/DE/Themen/Wirtschaft/Konjunkturindikatoren/Preise/bpr110.html" TargetMode="External"/><Relationship Id="rId5" Type="http://schemas.openxmlformats.org/officeDocument/2006/relationships/comments" Target="../comments4.xml"/><Relationship Id="rId4" Type="http://schemas.openxmlformats.org/officeDocument/2006/relationships/vmlDrawing" Target="../drawings/vmlDrawing7.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0" tint="-0.249977111117893"/>
    <pageSetUpPr fitToPage="1"/>
  </sheetPr>
  <dimension ref="A1:I120"/>
  <sheetViews>
    <sheetView showGridLines="0" zoomScaleNormal="100" zoomScaleSheetLayoutView="100" workbookViewId="0">
      <selection activeCell="C6" sqref="C6:H6"/>
    </sheetView>
  </sheetViews>
  <sheetFormatPr baseColWidth="10" defaultColWidth="11.5703125" defaultRowHeight="13.9" customHeight="1" x14ac:dyDescent="0.2"/>
  <cols>
    <col min="1" max="1" width="8.140625" style="1" customWidth="1"/>
    <col min="2" max="2" width="8.7109375" style="45" customWidth="1"/>
    <col min="3" max="3" width="11.5703125" style="43"/>
    <col min="4" max="4" width="10.7109375" style="1" customWidth="1"/>
    <col min="5" max="5" width="11.7109375" style="1" customWidth="1"/>
    <col min="6" max="6" width="14.42578125" style="1" customWidth="1"/>
    <col min="7" max="7" width="13.5703125" style="1" customWidth="1"/>
    <col min="8" max="8" width="18.28515625" style="1" customWidth="1"/>
    <col min="9" max="9" width="5.7109375" style="1" customWidth="1"/>
    <col min="10" max="16384" width="11.5703125" style="1"/>
  </cols>
  <sheetData>
    <row r="1" spans="1:8" ht="13.9" customHeight="1" x14ac:dyDescent="0.2">
      <c r="A1" s="25" t="s">
        <v>0</v>
      </c>
      <c r="B1" s="1"/>
      <c r="C1" s="1"/>
      <c r="D1" s="26" t="s">
        <v>1</v>
      </c>
      <c r="E1" s="27" t="s">
        <v>2</v>
      </c>
      <c r="F1" s="28" t="s">
        <v>3</v>
      </c>
      <c r="H1" s="29"/>
    </row>
    <row r="2" spans="1:8" ht="13.9" customHeight="1" x14ac:dyDescent="0.2">
      <c r="B2" s="1"/>
      <c r="C2" s="1"/>
      <c r="D2" s="30" t="s">
        <v>4</v>
      </c>
      <c r="E2" s="31" t="s">
        <v>5</v>
      </c>
      <c r="F2" s="28" t="s">
        <v>6</v>
      </c>
    </row>
    <row r="3" spans="1:8" ht="13.9" customHeight="1" x14ac:dyDescent="0.2">
      <c r="B3" s="1"/>
      <c r="C3" s="1"/>
      <c r="E3" s="32" t="s">
        <v>7</v>
      </c>
      <c r="F3" s="28" t="s">
        <v>8</v>
      </c>
    </row>
    <row r="4" spans="1:8" ht="13.9" customHeight="1" x14ac:dyDescent="0.2">
      <c r="B4" s="1"/>
      <c r="C4" s="1"/>
      <c r="E4" s="33" t="s">
        <v>9</v>
      </c>
      <c r="F4" s="28" t="s">
        <v>10</v>
      </c>
    </row>
    <row r="5" spans="1:8" ht="13.9" customHeight="1" x14ac:dyDescent="0.2">
      <c r="B5" s="1"/>
      <c r="C5" s="1"/>
    </row>
    <row r="6" spans="1:8" ht="13.9" customHeight="1" x14ac:dyDescent="0.2">
      <c r="B6" s="34" t="s">
        <v>11</v>
      </c>
      <c r="C6" s="129" t="s">
        <v>12</v>
      </c>
      <c r="D6" s="129"/>
      <c r="E6" s="129"/>
      <c r="F6" s="129"/>
      <c r="G6" s="129"/>
      <c r="H6" s="129"/>
    </row>
    <row r="7" spans="1:8" ht="13.9" customHeight="1" x14ac:dyDescent="0.2">
      <c r="B7" s="34" t="s">
        <v>13</v>
      </c>
      <c r="C7" s="129" t="s">
        <v>14</v>
      </c>
      <c r="D7" s="129"/>
      <c r="E7" s="129"/>
      <c r="F7" s="129"/>
      <c r="G7" s="129"/>
      <c r="H7" s="129"/>
    </row>
    <row r="8" spans="1:8" ht="13.9" customHeight="1" x14ac:dyDescent="0.2">
      <c r="B8" s="34" t="s">
        <v>15</v>
      </c>
      <c r="C8" s="4">
        <v>44561</v>
      </c>
      <c r="D8" s="6"/>
      <c r="E8" s="3"/>
      <c r="F8" s="3"/>
      <c r="G8" s="3"/>
      <c r="H8" s="3"/>
    </row>
    <row r="9" spans="1:8" ht="13.9" customHeight="1" x14ac:dyDescent="0.2">
      <c r="B9" s="34"/>
      <c r="C9" s="35"/>
      <c r="D9" s="6"/>
      <c r="E9" s="3"/>
      <c r="F9" s="3"/>
      <c r="G9" s="3"/>
      <c r="H9" s="3"/>
    </row>
    <row r="10" spans="1:8" ht="13.9" customHeight="1" x14ac:dyDescent="0.2">
      <c r="A10" s="36"/>
      <c r="B10" s="1"/>
      <c r="C10" s="1"/>
    </row>
    <row r="11" spans="1:8" ht="13.9" customHeight="1" x14ac:dyDescent="0.2">
      <c r="A11" s="36" t="s">
        <v>16</v>
      </c>
      <c r="B11" s="1"/>
      <c r="C11" s="1"/>
      <c r="E11" s="34" t="s">
        <v>17</v>
      </c>
      <c r="F11" s="2">
        <v>14284.31</v>
      </c>
      <c r="G11" s="1" t="s">
        <v>18</v>
      </c>
    </row>
    <row r="12" spans="1:8" ht="13.9" customHeight="1" x14ac:dyDescent="0.2">
      <c r="A12" s="36"/>
      <c r="B12" s="1"/>
      <c r="C12" s="1"/>
      <c r="E12" s="34" t="s">
        <v>19</v>
      </c>
      <c r="F12" s="2">
        <v>14284.31</v>
      </c>
      <c r="G12" s="1" t="s">
        <v>18</v>
      </c>
    </row>
    <row r="13" spans="1:8" ht="13.9" customHeight="1" x14ac:dyDescent="0.2">
      <c r="A13" s="36"/>
      <c r="B13" s="1"/>
      <c r="C13" s="1"/>
      <c r="E13" s="34" t="s">
        <v>20</v>
      </c>
      <c r="F13" s="2">
        <v>1709</v>
      </c>
      <c r="G13" s="1" t="s">
        <v>21</v>
      </c>
    </row>
    <row r="14" spans="1:8" ht="13.9" customHeight="1" x14ac:dyDescent="0.25">
      <c r="A14" s="36"/>
      <c r="B14" s="1"/>
      <c r="C14" s="1"/>
      <c r="E14" s="34" t="s">
        <v>22</v>
      </c>
      <c r="F14" s="2">
        <v>19</v>
      </c>
      <c r="G14" s="1" t="s">
        <v>23</v>
      </c>
      <c r="H14" s="118" t="s">
        <v>24</v>
      </c>
    </row>
    <row r="15" spans="1:8" ht="13.9" customHeight="1" x14ac:dyDescent="0.2">
      <c r="A15" s="36"/>
      <c r="B15" s="1"/>
      <c r="C15" s="1"/>
    </row>
    <row r="16" spans="1:8" ht="13.9" customHeight="1" x14ac:dyDescent="0.2">
      <c r="A16" s="36" t="s">
        <v>25</v>
      </c>
      <c r="B16" s="1"/>
      <c r="C16" s="1"/>
      <c r="E16" s="34" t="s">
        <v>26</v>
      </c>
      <c r="F16" s="2">
        <v>141041.91</v>
      </c>
      <c r="G16" s="1" t="s">
        <v>18</v>
      </c>
    </row>
    <row r="17" spans="2:9" ht="13.9" customHeight="1" x14ac:dyDescent="0.2">
      <c r="B17" s="1"/>
      <c r="C17" s="1"/>
      <c r="E17" s="34" t="s">
        <v>19</v>
      </c>
      <c r="F17" s="2">
        <v>50459.4</v>
      </c>
      <c r="G17" s="5" t="s">
        <v>18</v>
      </c>
    </row>
    <row r="18" spans="2:9" ht="13.9" customHeight="1" x14ac:dyDescent="0.2">
      <c r="B18" s="1"/>
      <c r="C18" s="1"/>
      <c r="E18" s="34" t="s">
        <v>27</v>
      </c>
      <c r="F18" s="37">
        <f>F17/C41</f>
        <v>80.247137404580158</v>
      </c>
      <c r="G18" s="1" t="s">
        <v>23</v>
      </c>
      <c r="H18" s="38"/>
    </row>
    <row r="19" spans="2:9" ht="13.9" customHeight="1" x14ac:dyDescent="0.2">
      <c r="B19" s="1"/>
      <c r="C19" s="1"/>
      <c r="E19" s="34" t="s">
        <v>28</v>
      </c>
      <c r="F19" s="2">
        <v>2355.4</v>
      </c>
      <c r="G19" s="1" t="s">
        <v>18</v>
      </c>
      <c r="H19" s="39"/>
    </row>
    <row r="20" spans="2:9" ht="13.9" customHeight="1" x14ac:dyDescent="0.2">
      <c r="B20" s="1"/>
      <c r="C20" s="1"/>
      <c r="E20" s="34" t="s">
        <v>29</v>
      </c>
      <c r="F20" s="8">
        <v>1990</v>
      </c>
    </row>
    <row r="21" spans="2:9" ht="13.9" customHeight="1" x14ac:dyDescent="0.25">
      <c r="B21" s="1"/>
      <c r="C21" s="1"/>
      <c r="E21" s="34" t="s">
        <v>30</v>
      </c>
      <c r="F21" s="7">
        <v>60</v>
      </c>
      <c r="G21" s="1" t="s">
        <v>31</v>
      </c>
      <c r="H21" s="118" t="s">
        <v>32</v>
      </c>
    </row>
    <row r="22" spans="2:9" ht="13.9" customHeight="1" x14ac:dyDescent="0.2">
      <c r="B22" s="1"/>
      <c r="C22" s="1"/>
      <c r="E22" s="34" t="s">
        <v>33</v>
      </c>
      <c r="F22" s="7">
        <v>30</v>
      </c>
      <c r="G22" s="1" t="s">
        <v>31</v>
      </c>
    </row>
    <row r="23" spans="2:9" ht="13.9" customHeight="1" x14ac:dyDescent="0.2">
      <c r="B23" s="1"/>
      <c r="C23" s="1"/>
      <c r="E23" s="34" t="s">
        <v>34</v>
      </c>
      <c r="F23" s="131" t="str">
        <f>IF(COUNT(B41:B120)=F22,"Dateneingabe für gesamten Betrachtungszeitraum erfolgt",IF(COUNT(B41:B120)&lt;F22,"Daten für weniger Jahre als Restnutzungsdauer eingeben",IF(COUNT(B41:B120)&gt;F22,"Daten für mehr Jahre als Restnutzungsdauer eingegeben")))</f>
        <v>Dateneingabe für gesamten Betrachtungszeitraum erfolgt</v>
      </c>
      <c r="G23" s="131"/>
      <c r="H23" s="131"/>
    </row>
    <row r="24" spans="2:9" ht="13.9" customHeight="1" x14ac:dyDescent="0.2">
      <c r="B24" s="1"/>
      <c r="C24" s="1"/>
      <c r="E24" s="34"/>
    </row>
    <row r="25" spans="2:9" ht="13.9" customHeight="1" x14ac:dyDescent="0.2">
      <c r="B25" s="1"/>
      <c r="C25" s="40" t="s">
        <v>35</v>
      </c>
    </row>
    <row r="26" spans="2:9" ht="27.6" customHeight="1" x14ac:dyDescent="0.2">
      <c r="B26" s="1"/>
      <c r="C26" s="41" t="s">
        <v>36</v>
      </c>
      <c r="D26" s="122" t="s">
        <v>37</v>
      </c>
      <c r="E26" s="122"/>
      <c r="F26" s="122"/>
      <c r="G26" s="41" t="s">
        <v>38</v>
      </c>
      <c r="H26" s="41" t="s">
        <v>39</v>
      </c>
    </row>
    <row r="27" spans="2:9" ht="13.9" customHeight="1" x14ac:dyDescent="0.2">
      <c r="B27" s="1"/>
      <c r="C27" s="14"/>
      <c r="D27" s="121"/>
      <c r="E27" s="121"/>
      <c r="F27" s="121"/>
      <c r="G27" s="13"/>
      <c r="H27" s="13"/>
      <c r="I27" s="42"/>
    </row>
    <row r="28" spans="2:9" ht="13.9" customHeight="1" x14ac:dyDescent="0.2">
      <c r="B28" s="1"/>
      <c r="C28" s="14"/>
      <c r="D28" s="121"/>
      <c r="E28" s="121"/>
      <c r="F28" s="121"/>
      <c r="G28" s="13"/>
      <c r="H28" s="13"/>
      <c r="I28" s="11"/>
    </row>
    <row r="29" spans="2:9" ht="13.9" customHeight="1" x14ac:dyDescent="0.2">
      <c r="B29" s="1"/>
      <c r="C29" s="14"/>
      <c r="D29" s="126"/>
      <c r="E29" s="127"/>
      <c r="F29" s="128"/>
      <c r="G29" s="13"/>
      <c r="H29" s="13"/>
      <c r="I29" s="11"/>
    </row>
    <row r="30" spans="2:9" ht="13.9" customHeight="1" x14ac:dyDescent="0.2">
      <c r="B30" s="1"/>
      <c r="C30" s="14"/>
      <c r="D30" s="121"/>
      <c r="E30" s="121"/>
      <c r="F30" s="121"/>
      <c r="G30" s="13"/>
      <c r="H30" s="13"/>
      <c r="I30" s="11"/>
    </row>
    <row r="31" spans="2:9" ht="13.9" customHeight="1" x14ac:dyDescent="0.2">
      <c r="B31" s="1"/>
      <c r="C31" s="14"/>
      <c r="D31" s="121"/>
      <c r="E31" s="121"/>
      <c r="F31" s="121"/>
      <c r="G31" s="13"/>
      <c r="H31" s="13"/>
      <c r="I31" s="11"/>
    </row>
    <row r="32" spans="2:9" ht="13.9" customHeight="1" x14ac:dyDescent="0.2">
      <c r="B32" s="1"/>
      <c r="C32" s="14"/>
      <c r="D32" s="121"/>
      <c r="E32" s="121"/>
      <c r="F32" s="121"/>
      <c r="G32" s="13"/>
      <c r="H32" s="13"/>
      <c r="I32" s="12"/>
    </row>
    <row r="33" spans="1:9" ht="13.9" customHeight="1" x14ac:dyDescent="0.2">
      <c r="B33" s="1"/>
      <c r="C33" s="14"/>
      <c r="D33" s="121"/>
      <c r="E33" s="121"/>
      <c r="F33" s="121"/>
      <c r="G33" s="13"/>
      <c r="H33" s="13"/>
      <c r="I33" s="12"/>
    </row>
    <row r="34" spans="1:9" ht="13.9" customHeight="1" x14ac:dyDescent="0.2">
      <c r="B34" s="1"/>
      <c r="C34" s="14"/>
      <c r="D34" s="126"/>
      <c r="E34" s="127"/>
      <c r="F34" s="128"/>
      <c r="G34" s="13"/>
      <c r="H34" s="13"/>
      <c r="I34" s="12"/>
    </row>
    <row r="35" spans="1:9" ht="13.9" customHeight="1" x14ac:dyDescent="0.2">
      <c r="B35" s="1"/>
      <c r="C35" s="14"/>
      <c r="D35" s="121"/>
      <c r="E35" s="121"/>
      <c r="F35" s="121"/>
      <c r="G35" s="13"/>
      <c r="H35" s="13"/>
      <c r="I35" s="11"/>
    </row>
    <row r="36" spans="1:9" ht="13.9" customHeight="1" x14ac:dyDescent="0.2">
      <c r="B36" s="1"/>
      <c r="C36" s="1"/>
      <c r="G36" s="9"/>
      <c r="H36" s="10"/>
      <c r="I36" s="11"/>
    </row>
    <row r="37" spans="1:9" ht="13.9" customHeight="1" x14ac:dyDescent="0.2">
      <c r="B37" s="1"/>
      <c r="C37" s="1"/>
      <c r="F37" s="43"/>
      <c r="G37" s="9"/>
      <c r="H37" s="10"/>
      <c r="I37" s="11"/>
    </row>
    <row r="38" spans="1:9" ht="13.9" customHeight="1" x14ac:dyDescent="0.2">
      <c r="A38" s="122" t="s">
        <v>40</v>
      </c>
      <c r="B38" s="123" t="s">
        <v>41</v>
      </c>
      <c r="C38" s="123" t="s">
        <v>42</v>
      </c>
      <c r="D38" s="123" t="s">
        <v>43</v>
      </c>
      <c r="E38" s="132" t="s">
        <v>44</v>
      </c>
      <c r="F38" s="123" t="s">
        <v>45</v>
      </c>
      <c r="G38" s="130" t="s">
        <v>46</v>
      </c>
      <c r="H38" s="122" t="s">
        <v>47</v>
      </c>
    </row>
    <row r="39" spans="1:9" ht="13.9" customHeight="1" x14ac:dyDescent="0.2">
      <c r="A39" s="122"/>
      <c r="B39" s="124"/>
      <c r="C39" s="124"/>
      <c r="D39" s="124"/>
      <c r="E39" s="133"/>
      <c r="F39" s="124"/>
      <c r="G39" s="130"/>
      <c r="H39" s="122"/>
    </row>
    <row r="40" spans="1:9" ht="13.9" customHeight="1" x14ac:dyDescent="0.2">
      <c r="A40" s="122"/>
      <c r="B40" s="125"/>
      <c r="C40" s="125"/>
      <c r="D40" s="125"/>
      <c r="E40" s="134"/>
      <c r="F40" s="125"/>
      <c r="G40" s="130"/>
      <c r="H40" s="122"/>
    </row>
    <row r="41" spans="1:9" ht="13.9" customHeight="1" x14ac:dyDescent="0.2">
      <c r="A41" s="44">
        <f>D8+1</f>
        <v>1</v>
      </c>
      <c r="B41" s="15">
        <v>12</v>
      </c>
      <c r="C41" s="16">
        <v>628.79999999999995</v>
      </c>
      <c r="D41" s="17">
        <v>3.77</v>
      </c>
      <c r="E41" s="17">
        <v>280</v>
      </c>
      <c r="F41" s="17">
        <v>1500</v>
      </c>
      <c r="G41" s="17">
        <v>7</v>
      </c>
      <c r="H41" s="18">
        <v>0.41699999999999998</v>
      </c>
    </row>
    <row r="42" spans="1:9" ht="13.9" customHeight="1" x14ac:dyDescent="0.2">
      <c r="A42" s="44">
        <f t="shared" ref="A42:A105" si="0">A41+1</f>
        <v>2</v>
      </c>
      <c r="B42" s="15">
        <v>12</v>
      </c>
      <c r="C42" s="16">
        <v>628.79999999999995</v>
      </c>
      <c r="D42" s="17">
        <v>3.77</v>
      </c>
      <c r="E42" s="17">
        <v>280</v>
      </c>
      <c r="F42" s="17">
        <v>1500</v>
      </c>
      <c r="G42" s="17">
        <v>7</v>
      </c>
      <c r="H42" s="18">
        <v>0.41699999999999998</v>
      </c>
    </row>
    <row r="43" spans="1:9" ht="13.9" customHeight="1" x14ac:dyDescent="0.2">
      <c r="A43" s="44">
        <f t="shared" si="0"/>
        <v>3</v>
      </c>
      <c r="B43" s="15">
        <v>12</v>
      </c>
      <c r="C43" s="16">
        <v>628.79999999999995</v>
      </c>
      <c r="D43" s="17">
        <v>3.77</v>
      </c>
      <c r="E43" s="17">
        <v>280</v>
      </c>
      <c r="F43" s="17">
        <v>1500</v>
      </c>
      <c r="G43" s="17">
        <v>7</v>
      </c>
      <c r="H43" s="18">
        <v>0.41699999999999998</v>
      </c>
    </row>
    <row r="44" spans="1:9" ht="13.9" customHeight="1" x14ac:dyDescent="0.2">
      <c r="A44" s="44">
        <f t="shared" si="0"/>
        <v>4</v>
      </c>
      <c r="B44" s="15">
        <v>12</v>
      </c>
      <c r="C44" s="16">
        <v>628.79999999999995</v>
      </c>
      <c r="D44" s="17">
        <v>3.77</v>
      </c>
      <c r="E44" s="17">
        <v>280</v>
      </c>
      <c r="F44" s="17">
        <v>1500</v>
      </c>
      <c r="G44" s="17">
        <v>7</v>
      </c>
      <c r="H44" s="18">
        <v>0.41699999999999998</v>
      </c>
    </row>
    <row r="45" spans="1:9" ht="13.9" customHeight="1" x14ac:dyDescent="0.2">
      <c r="A45" s="44">
        <f t="shared" si="0"/>
        <v>5</v>
      </c>
      <c r="B45" s="15">
        <v>12</v>
      </c>
      <c r="C45" s="16">
        <v>628.79999999999995</v>
      </c>
      <c r="D45" s="17">
        <v>3.77</v>
      </c>
      <c r="E45" s="17">
        <v>280</v>
      </c>
      <c r="F45" s="17">
        <v>1500</v>
      </c>
      <c r="G45" s="17">
        <v>7</v>
      </c>
      <c r="H45" s="18">
        <v>0.41699999999999998</v>
      </c>
    </row>
    <row r="46" spans="1:9" ht="13.9" customHeight="1" x14ac:dyDescent="0.2">
      <c r="A46" s="44">
        <f t="shared" si="0"/>
        <v>6</v>
      </c>
      <c r="B46" s="15">
        <v>12</v>
      </c>
      <c r="C46" s="16">
        <v>628.79999999999995</v>
      </c>
      <c r="D46" s="17">
        <v>3.77</v>
      </c>
      <c r="E46" s="17">
        <v>280</v>
      </c>
      <c r="F46" s="17">
        <v>1500</v>
      </c>
      <c r="G46" s="17">
        <v>7</v>
      </c>
      <c r="H46" s="18">
        <v>0.41699999999999998</v>
      </c>
    </row>
    <row r="47" spans="1:9" ht="13.9" customHeight="1" x14ac:dyDescent="0.2">
      <c r="A47" s="44">
        <f t="shared" si="0"/>
        <v>7</v>
      </c>
      <c r="B47" s="15">
        <v>12</v>
      </c>
      <c r="C47" s="16">
        <v>628.79999999999995</v>
      </c>
      <c r="D47" s="17">
        <v>3.77</v>
      </c>
      <c r="E47" s="17">
        <v>280</v>
      </c>
      <c r="F47" s="17">
        <v>1500</v>
      </c>
      <c r="G47" s="17">
        <v>7</v>
      </c>
      <c r="H47" s="18">
        <v>0.41699999999999998</v>
      </c>
    </row>
    <row r="48" spans="1:9" ht="13.9" customHeight="1" x14ac:dyDescent="0.2">
      <c r="A48" s="44">
        <f t="shared" si="0"/>
        <v>8</v>
      </c>
      <c r="B48" s="15">
        <v>12</v>
      </c>
      <c r="C48" s="16">
        <v>628.79999999999995</v>
      </c>
      <c r="D48" s="17">
        <v>3.77</v>
      </c>
      <c r="E48" s="17">
        <v>280</v>
      </c>
      <c r="F48" s="17">
        <v>1500</v>
      </c>
      <c r="G48" s="17">
        <v>7</v>
      </c>
      <c r="H48" s="18">
        <v>0.41699999999999998</v>
      </c>
    </row>
    <row r="49" spans="1:8" ht="13.9" customHeight="1" x14ac:dyDescent="0.2">
      <c r="A49" s="44">
        <f t="shared" si="0"/>
        <v>9</v>
      </c>
      <c r="B49" s="15">
        <v>12</v>
      </c>
      <c r="C49" s="16">
        <v>628.79999999999995</v>
      </c>
      <c r="D49" s="17">
        <v>3.77</v>
      </c>
      <c r="E49" s="17">
        <v>280</v>
      </c>
      <c r="F49" s="17">
        <v>1500</v>
      </c>
      <c r="G49" s="17">
        <v>7</v>
      </c>
      <c r="H49" s="18">
        <v>0.41699999999999998</v>
      </c>
    </row>
    <row r="50" spans="1:8" ht="13.9" customHeight="1" x14ac:dyDescent="0.2">
      <c r="A50" s="44">
        <f t="shared" si="0"/>
        <v>10</v>
      </c>
      <c r="B50" s="15">
        <v>12</v>
      </c>
      <c r="C50" s="16">
        <v>628.79999999999995</v>
      </c>
      <c r="D50" s="17">
        <v>3.77</v>
      </c>
      <c r="E50" s="17">
        <v>280</v>
      </c>
      <c r="F50" s="17">
        <v>1500</v>
      </c>
      <c r="G50" s="17">
        <v>7</v>
      </c>
      <c r="H50" s="18">
        <v>0.41699999999999998</v>
      </c>
    </row>
    <row r="51" spans="1:8" ht="13.9" customHeight="1" x14ac:dyDescent="0.2">
      <c r="A51" s="44">
        <f t="shared" si="0"/>
        <v>11</v>
      </c>
      <c r="B51" s="15">
        <v>12</v>
      </c>
      <c r="C51" s="16">
        <v>628.79999999999995</v>
      </c>
      <c r="D51" s="17">
        <v>3.77</v>
      </c>
      <c r="E51" s="17">
        <v>280</v>
      </c>
      <c r="F51" s="17">
        <v>1500</v>
      </c>
      <c r="G51" s="17">
        <v>7</v>
      </c>
      <c r="H51" s="18">
        <v>0.41699999999999998</v>
      </c>
    </row>
    <row r="52" spans="1:8" ht="13.9" customHeight="1" x14ac:dyDescent="0.2">
      <c r="A52" s="44">
        <f t="shared" si="0"/>
        <v>12</v>
      </c>
      <c r="B52" s="15">
        <v>12</v>
      </c>
      <c r="C52" s="16">
        <v>628.79999999999995</v>
      </c>
      <c r="D52" s="17">
        <v>3.77</v>
      </c>
      <c r="E52" s="17">
        <v>280</v>
      </c>
      <c r="F52" s="17">
        <v>1500</v>
      </c>
      <c r="G52" s="17">
        <v>7</v>
      </c>
      <c r="H52" s="18">
        <v>0.41699999999999998</v>
      </c>
    </row>
    <row r="53" spans="1:8" ht="13.9" customHeight="1" x14ac:dyDescent="0.2">
      <c r="A53" s="44">
        <f t="shared" si="0"/>
        <v>13</v>
      </c>
      <c r="B53" s="15">
        <v>12</v>
      </c>
      <c r="C53" s="16">
        <v>628.79999999999995</v>
      </c>
      <c r="D53" s="17">
        <v>3.77</v>
      </c>
      <c r="E53" s="17">
        <v>280</v>
      </c>
      <c r="F53" s="17">
        <v>1500</v>
      </c>
      <c r="G53" s="17">
        <v>7</v>
      </c>
      <c r="H53" s="18">
        <v>0.41699999999999998</v>
      </c>
    </row>
    <row r="54" spans="1:8" ht="13.9" customHeight="1" x14ac:dyDescent="0.2">
      <c r="A54" s="44">
        <f t="shared" si="0"/>
        <v>14</v>
      </c>
      <c r="B54" s="15">
        <v>12</v>
      </c>
      <c r="C54" s="16">
        <v>628.79999999999995</v>
      </c>
      <c r="D54" s="17">
        <v>3.77</v>
      </c>
      <c r="E54" s="17">
        <v>280</v>
      </c>
      <c r="F54" s="17">
        <v>1500</v>
      </c>
      <c r="G54" s="17">
        <v>7</v>
      </c>
      <c r="H54" s="18">
        <v>0.41699999999999998</v>
      </c>
    </row>
    <row r="55" spans="1:8" ht="13.9" customHeight="1" x14ac:dyDescent="0.2">
      <c r="A55" s="44">
        <f t="shared" si="0"/>
        <v>15</v>
      </c>
      <c r="B55" s="15">
        <v>12</v>
      </c>
      <c r="C55" s="16">
        <v>628.79999999999995</v>
      </c>
      <c r="D55" s="17">
        <v>3.77</v>
      </c>
      <c r="E55" s="17">
        <v>280</v>
      </c>
      <c r="F55" s="17">
        <v>1500</v>
      </c>
      <c r="G55" s="17">
        <v>7</v>
      </c>
      <c r="H55" s="18">
        <v>0.41699999999999998</v>
      </c>
    </row>
    <row r="56" spans="1:8" ht="13.9" customHeight="1" x14ac:dyDescent="0.2">
      <c r="A56" s="44">
        <f t="shared" si="0"/>
        <v>16</v>
      </c>
      <c r="B56" s="15">
        <v>12</v>
      </c>
      <c r="C56" s="16">
        <v>628.79999999999995</v>
      </c>
      <c r="D56" s="17">
        <v>3.77</v>
      </c>
      <c r="E56" s="17">
        <v>280</v>
      </c>
      <c r="F56" s="17">
        <v>1500</v>
      </c>
      <c r="G56" s="17">
        <v>7</v>
      </c>
      <c r="H56" s="18">
        <v>0.41699999999999998</v>
      </c>
    </row>
    <row r="57" spans="1:8" ht="13.9" customHeight="1" x14ac:dyDescent="0.2">
      <c r="A57" s="44">
        <f t="shared" si="0"/>
        <v>17</v>
      </c>
      <c r="B57" s="15">
        <v>12</v>
      </c>
      <c r="C57" s="16">
        <v>628.79999999999995</v>
      </c>
      <c r="D57" s="17">
        <v>3.77</v>
      </c>
      <c r="E57" s="17">
        <v>280</v>
      </c>
      <c r="F57" s="17">
        <v>1500</v>
      </c>
      <c r="G57" s="17">
        <v>7</v>
      </c>
      <c r="H57" s="18">
        <v>0.41699999999999998</v>
      </c>
    </row>
    <row r="58" spans="1:8" ht="13.9" customHeight="1" x14ac:dyDescent="0.2">
      <c r="A58" s="44">
        <f t="shared" si="0"/>
        <v>18</v>
      </c>
      <c r="B58" s="15">
        <v>12</v>
      </c>
      <c r="C58" s="16">
        <v>628.79999999999995</v>
      </c>
      <c r="D58" s="17">
        <v>3.77</v>
      </c>
      <c r="E58" s="17">
        <v>280</v>
      </c>
      <c r="F58" s="17">
        <v>1500</v>
      </c>
      <c r="G58" s="17">
        <v>7</v>
      </c>
      <c r="H58" s="18">
        <v>0.41699999999999998</v>
      </c>
    </row>
    <row r="59" spans="1:8" ht="13.9" customHeight="1" x14ac:dyDescent="0.2">
      <c r="A59" s="44">
        <f t="shared" si="0"/>
        <v>19</v>
      </c>
      <c r="B59" s="15">
        <v>12</v>
      </c>
      <c r="C59" s="16">
        <v>628.79999999999995</v>
      </c>
      <c r="D59" s="17">
        <v>3.77</v>
      </c>
      <c r="E59" s="17">
        <v>280</v>
      </c>
      <c r="F59" s="17">
        <v>1500</v>
      </c>
      <c r="G59" s="17">
        <v>7</v>
      </c>
      <c r="H59" s="18">
        <v>0.41699999999999998</v>
      </c>
    </row>
    <row r="60" spans="1:8" ht="13.9" customHeight="1" x14ac:dyDescent="0.2">
      <c r="A60" s="44">
        <f t="shared" si="0"/>
        <v>20</v>
      </c>
      <c r="B60" s="15">
        <v>12</v>
      </c>
      <c r="C60" s="16">
        <v>628.79999999999995</v>
      </c>
      <c r="D60" s="17">
        <v>3.77</v>
      </c>
      <c r="E60" s="17">
        <v>280</v>
      </c>
      <c r="F60" s="17">
        <v>1500</v>
      </c>
      <c r="G60" s="17">
        <v>7</v>
      </c>
      <c r="H60" s="18">
        <v>0.41699999999999998</v>
      </c>
    </row>
    <row r="61" spans="1:8" ht="13.9" customHeight="1" x14ac:dyDescent="0.2">
      <c r="A61" s="44">
        <f t="shared" si="0"/>
        <v>21</v>
      </c>
      <c r="B61" s="15">
        <v>12</v>
      </c>
      <c r="C61" s="16">
        <v>628.79999999999995</v>
      </c>
      <c r="D61" s="17">
        <v>3.77</v>
      </c>
      <c r="E61" s="17">
        <v>280</v>
      </c>
      <c r="F61" s="17">
        <v>1500</v>
      </c>
      <c r="G61" s="17">
        <v>7</v>
      </c>
      <c r="H61" s="18">
        <v>0.41699999999999998</v>
      </c>
    </row>
    <row r="62" spans="1:8" ht="13.9" customHeight="1" x14ac:dyDescent="0.2">
      <c r="A62" s="44">
        <f t="shared" si="0"/>
        <v>22</v>
      </c>
      <c r="B62" s="15">
        <v>12</v>
      </c>
      <c r="C62" s="16">
        <v>628.79999999999995</v>
      </c>
      <c r="D62" s="17">
        <v>3.77</v>
      </c>
      <c r="E62" s="17">
        <v>280</v>
      </c>
      <c r="F62" s="17">
        <v>1500</v>
      </c>
      <c r="G62" s="17">
        <v>7</v>
      </c>
      <c r="H62" s="18">
        <v>0.41699999999999998</v>
      </c>
    </row>
    <row r="63" spans="1:8" ht="13.9" customHeight="1" x14ac:dyDescent="0.2">
      <c r="A63" s="44">
        <f t="shared" si="0"/>
        <v>23</v>
      </c>
      <c r="B63" s="15">
        <v>12</v>
      </c>
      <c r="C63" s="16">
        <v>628.79999999999995</v>
      </c>
      <c r="D63" s="17">
        <v>3.77</v>
      </c>
      <c r="E63" s="17">
        <v>280</v>
      </c>
      <c r="F63" s="17">
        <v>1500</v>
      </c>
      <c r="G63" s="17">
        <v>7</v>
      </c>
      <c r="H63" s="18">
        <v>0.41699999999999998</v>
      </c>
    </row>
    <row r="64" spans="1:8" ht="13.9" customHeight="1" x14ac:dyDescent="0.2">
      <c r="A64" s="44">
        <f t="shared" si="0"/>
        <v>24</v>
      </c>
      <c r="B64" s="15">
        <v>12</v>
      </c>
      <c r="C64" s="16">
        <v>628.79999999999995</v>
      </c>
      <c r="D64" s="17">
        <v>3.77</v>
      </c>
      <c r="E64" s="17">
        <v>280</v>
      </c>
      <c r="F64" s="17">
        <v>1500</v>
      </c>
      <c r="G64" s="17">
        <v>7</v>
      </c>
      <c r="H64" s="18">
        <v>0.41699999999999998</v>
      </c>
    </row>
    <row r="65" spans="1:8" ht="13.9" customHeight="1" x14ac:dyDescent="0.2">
      <c r="A65" s="44">
        <f t="shared" si="0"/>
        <v>25</v>
      </c>
      <c r="B65" s="15">
        <v>12</v>
      </c>
      <c r="C65" s="16">
        <v>628.79999999999995</v>
      </c>
      <c r="D65" s="17">
        <v>3.77</v>
      </c>
      <c r="E65" s="17">
        <v>280</v>
      </c>
      <c r="F65" s="17">
        <v>1500</v>
      </c>
      <c r="G65" s="17">
        <v>7</v>
      </c>
      <c r="H65" s="18">
        <v>0.41699999999999998</v>
      </c>
    </row>
    <row r="66" spans="1:8" ht="13.9" customHeight="1" x14ac:dyDescent="0.2">
      <c r="A66" s="44">
        <f t="shared" si="0"/>
        <v>26</v>
      </c>
      <c r="B66" s="15">
        <v>12</v>
      </c>
      <c r="C66" s="16">
        <v>628.79999999999995</v>
      </c>
      <c r="D66" s="17">
        <v>3.77</v>
      </c>
      <c r="E66" s="17">
        <v>280</v>
      </c>
      <c r="F66" s="17">
        <v>1500</v>
      </c>
      <c r="G66" s="17">
        <v>7</v>
      </c>
      <c r="H66" s="18">
        <v>0.41699999999999998</v>
      </c>
    </row>
    <row r="67" spans="1:8" ht="13.9" customHeight="1" x14ac:dyDescent="0.2">
      <c r="A67" s="44">
        <f t="shared" si="0"/>
        <v>27</v>
      </c>
      <c r="B67" s="15">
        <v>12</v>
      </c>
      <c r="C67" s="16">
        <v>628.79999999999995</v>
      </c>
      <c r="D67" s="17">
        <v>3.77</v>
      </c>
      <c r="E67" s="17">
        <v>280</v>
      </c>
      <c r="F67" s="17">
        <v>1500</v>
      </c>
      <c r="G67" s="17">
        <v>7</v>
      </c>
      <c r="H67" s="18">
        <v>0.41699999999999998</v>
      </c>
    </row>
    <row r="68" spans="1:8" ht="13.9" customHeight="1" x14ac:dyDescent="0.2">
      <c r="A68" s="44">
        <f t="shared" si="0"/>
        <v>28</v>
      </c>
      <c r="B68" s="15">
        <v>12</v>
      </c>
      <c r="C68" s="16">
        <v>628.79999999999995</v>
      </c>
      <c r="D68" s="17">
        <v>3.77</v>
      </c>
      <c r="E68" s="17">
        <v>280</v>
      </c>
      <c r="F68" s="17">
        <v>1500</v>
      </c>
      <c r="G68" s="17">
        <v>7</v>
      </c>
      <c r="H68" s="18">
        <v>0.41699999999999998</v>
      </c>
    </row>
    <row r="69" spans="1:8" ht="13.9" customHeight="1" x14ac:dyDescent="0.2">
      <c r="A69" s="44">
        <f t="shared" si="0"/>
        <v>29</v>
      </c>
      <c r="B69" s="15">
        <v>12</v>
      </c>
      <c r="C69" s="16">
        <v>628.79999999999995</v>
      </c>
      <c r="D69" s="17">
        <v>3.77</v>
      </c>
      <c r="E69" s="17">
        <v>280</v>
      </c>
      <c r="F69" s="17">
        <v>1500</v>
      </c>
      <c r="G69" s="17">
        <v>7</v>
      </c>
      <c r="H69" s="18">
        <v>0.41699999999999998</v>
      </c>
    </row>
    <row r="70" spans="1:8" ht="13.9" customHeight="1" x14ac:dyDescent="0.2">
      <c r="A70" s="44">
        <f t="shared" si="0"/>
        <v>30</v>
      </c>
      <c r="B70" s="15">
        <v>12</v>
      </c>
      <c r="C70" s="16">
        <v>628.79999999999995</v>
      </c>
      <c r="D70" s="17">
        <v>3.77</v>
      </c>
      <c r="E70" s="17">
        <v>280</v>
      </c>
      <c r="F70" s="17">
        <v>1500</v>
      </c>
      <c r="G70" s="17">
        <v>7</v>
      </c>
      <c r="H70" s="18">
        <v>0.41699999999999998</v>
      </c>
    </row>
    <row r="71" spans="1:8" ht="13.9" customHeight="1" x14ac:dyDescent="0.2">
      <c r="A71" s="44">
        <f t="shared" si="0"/>
        <v>31</v>
      </c>
      <c r="B71" s="15"/>
      <c r="C71" s="16"/>
      <c r="D71" s="17"/>
      <c r="E71" s="17"/>
      <c r="F71" s="17"/>
      <c r="G71" s="17"/>
      <c r="H71" s="18"/>
    </row>
    <row r="72" spans="1:8" ht="13.9" customHeight="1" x14ac:dyDescent="0.2">
      <c r="A72" s="44">
        <f t="shared" si="0"/>
        <v>32</v>
      </c>
      <c r="B72" s="15"/>
      <c r="C72" s="16"/>
      <c r="D72" s="17"/>
      <c r="E72" s="17"/>
      <c r="F72" s="17"/>
      <c r="G72" s="17"/>
      <c r="H72" s="18"/>
    </row>
    <row r="73" spans="1:8" ht="13.9" customHeight="1" x14ac:dyDescent="0.2">
      <c r="A73" s="44">
        <f t="shared" si="0"/>
        <v>33</v>
      </c>
      <c r="B73" s="15"/>
      <c r="C73" s="16"/>
      <c r="D73" s="17"/>
      <c r="E73" s="17"/>
      <c r="F73" s="17"/>
      <c r="G73" s="17"/>
      <c r="H73" s="18"/>
    </row>
    <row r="74" spans="1:8" ht="13.9" customHeight="1" x14ac:dyDescent="0.2">
      <c r="A74" s="44">
        <f t="shared" si="0"/>
        <v>34</v>
      </c>
      <c r="B74" s="15"/>
      <c r="C74" s="16"/>
      <c r="D74" s="17"/>
      <c r="E74" s="17"/>
      <c r="F74" s="17"/>
      <c r="G74" s="17"/>
      <c r="H74" s="18"/>
    </row>
    <row r="75" spans="1:8" ht="13.9" customHeight="1" x14ac:dyDescent="0.2">
      <c r="A75" s="44">
        <f t="shared" si="0"/>
        <v>35</v>
      </c>
      <c r="B75" s="15"/>
      <c r="C75" s="16"/>
      <c r="D75" s="17"/>
      <c r="E75" s="17"/>
      <c r="F75" s="17"/>
      <c r="G75" s="17"/>
      <c r="H75" s="18"/>
    </row>
    <row r="76" spans="1:8" ht="13.9" customHeight="1" x14ac:dyDescent="0.2">
      <c r="A76" s="44">
        <f t="shared" si="0"/>
        <v>36</v>
      </c>
      <c r="B76" s="15"/>
      <c r="C76" s="16"/>
      <c r="D76" s="17"/>
      <c r="E76" s="17"/>
      <c r="F76" s="17"/>
      <c r="G76" s="17"/>
      <c r="H76" s="18"/>
    </row>
    <row r="77" spans="1:8" ht="13.9" customHeight="1" x14ac:dyDescent="0.2">
      <c r="A77" s="44">
        <f t="shared" si="0"/>
        <v>37</v>
      </c>
      <c r="B77" s="15"/>
      <c r="C77" s="16"/>
      <c r="D77" s="17"/>
      <c r="E77" s="17"/>
      <c r="F77" s="17"/>
      <c r="G77" s="17"/>
      <c r="H77" s="18"/>
    </row>
    <row r="78" spans="1:8" ht="13.9" customHeight="1" x14ac:dyDescent="0.2">
      <c r="A78" s="44">
        <f t="shared" si="0"/>
        <v>38</v>
      </c>
      <c r="B78" s="15"/>
      <c r="C78" s="16"/>
      <c r="D78" s="17"/>
      <c r="E78" s="17"/>
      <c r="F78" s="17"/>
      <c r="G78" s="17"/>
      <c r="H78" s="18"/>
    </row>
    <row r="79" spans="1:8" ht="13.9" customHeight="1" x14ac:dyDescent="0.2">
      <c r="A79" s="44">
        <f t="shared" si="0"/>
        <v>39</v>
      </c>
      <c r="B79" s="15"/>
      <c r="C79" s="16"/>
      <c r="D79" s="17"/>
      <c r="E79" s="17"/>
      <c r="F79" s="17"/>
      <c r="G79" s="17"/>
      <c r="H79" s="18"/>
    </row>
    <row r="80" spans="1:8" ht="13.9" customHeight="1" x14ac:dyDescent="0.2">
      <c r="A80" s="44">
        <f t="shared" si="0"/>
        <v>40</v>
      </c>
      <c r="B80" s="15"/>
      <c r="C80" s="16"/>
      <c r="D80" s="17"/>
      <c r="E80" s="17"/>
      <c r="F80" s="17"/>
      <c r="G80" s="17"/>
      <c r="H80" s="18"/>
    </row>
    <row r="81" spans="1:8" ht="13.9" customHeight="1" x14ac:dyDescent="0.2">
      <c r="A81" s="44">
        <f t="shared" si="0"/>
        <v>41</v>
      </c>
      <c r="B81" s="15"/>
      <c r="C81" s="16"/>
      <c r="D81" s="17"/>
      <c r="E81" s="17"/>
      <c r="F81" s="17"/>
      <c r="G81" s="17"/>
      <c r="H81" s="18"/>
    </row>
    <row r="82" spans="1:8" ht="13.9" customHeight="1" x14ac:dyDescent="0.2">
      <c r="A82" s="44">
        <f t="shared" si="0"/>
        <v>42</v>
      </c>
      <c r="B82" s="15"/>
      <c r="C82" s="16"/>
      <c r="D82" s="17"/>
      <c r="E82" s="17"/>
      <c r="F82" s="17"/>
      <c r="G82" s="17"/>
      <c r="H82" s="18"/>
    </row>
    <row r="83" spans="1:8" ht="13.9" customHeight="1" x14ac:dyDescent="0.2">
      <c r="A83" s="44">
        <f t="shared" si="0"/>
        <v>43</v>
      </c>
      <c r="B83" s="15"/>
      <c r="C83" s="16"/>
      <c r="D83" s="17"/>
      <c r="E83" s="17"/>
      <c r="F83" s="17"/>
      <c r="G83" s="17"/>
      <c r="H83" s="18"/>
    </row>
    <row r="84" spans="1:8" ht="13.9" customHeight="1" x14ac:dyDescent="0.2">
      <c r="A84" s="44">
        <f t="shared" si="0"/>
        <v>44</v>
      </c>
      <c r="B84" s="15"/>
      <c r="C84" s="16"/>
      <c r="D84" s="17"/>
      <c r="E84" s="17"/>
      <c r="F84" s="17"/>
      <c r="G84" s="17"/>
      <c r="H84" s="18"/>
    </row>
    <row r="85" spans="1:8" ht="13.9" customHeight="1" x14ac:dyDescent="0.2">
      <c r="A85" s="44">
        <f t="shared" si="0"/>
        <v>45</v>
      </c>
      <c r="B85" s="15"/>
      <c r="C85" s="16"/>
      <c r="D85" s="17"/>
      <c r="E85" s="17"/>
      <c r="F85" s="17"/>
      <c r="G85" s="17"/>
      <c r="H85" s="18"/>
    </row>
    <row r="86" spans="1:8" ht="13.9" customHeight="1" x14ac:dyDescent="0.2">
      <c r="A86" s="44">
        <f t="shared" si="0"/>
        <v>46</v>
      </c>
      <c r="B86" s="15"/>
      <c r="C86" s="16"/>
      <c r="D86" s="17"/>
      <c r="E86" s="17"/>
      <c r="F86" s="17"/>
      <c r="G86" s="17"/>
      <c r="H86" s="18"/>
    </row>
    <row r="87" spans="1:8" ht="13.9" customHeight="1" x14ac:dyDescent="0.2">
      <c r="A87" s="44">
        <f t="shared" si="0"/>
        <v>47</v>
      </c>
      <c r="B87" s="15"/>
      <c r="C87" s="16"/>
      <c r="D87" s="17"/>
      <c r="E87" s="17"/>
      <c r="F87" s="17"/>
      <c r="G87" s="17"/>
      <c r="H87" s="18"/>
    </row>
    <row r="88" spans="1:8" ht="13.9" customHeight="1" x14ac:dyDescent="0.2">
      <c r="A88" s="44">
        <f t="shared" si="0"/>
        <v>48</v>
      </c>
      <c r="B88" s="15"/>
      <c r="C88" s="16"/>
      <c r="D88" s="17"/>
      <c r="E88" s="17"/>
      <c r="F88" s="17"/>
      <c r="G88" s="17"/>
      <c r="H88" s="18"/>
    </row>
    <row r="89" spans="1:8" ht="13.9" customHeight="1" x14ac:dyDescent="0.2">
      <c r="A89" s="44">
        <f t="shared" si="0"/>
        <v>49</v>
      </c>
      <c r="B89" s="15"/>
      <c r="C89" s="16"/>
      <c r="D89" s="17"/>
      <c r="E89" s="17"/>
      <c r="F89" s="17"/>
      <c r="G89" s="17"/>
      <c r="H89" s="18"/>
    </row>
    <row r="90" spans="1:8" ht="13.9" customHeight="1" x14ac:dyDescent="0.2">
      <c r="A90" s="44">
        <f t="shared" si="0"/>
        <v>50</v>
      </c>
      <c r="B90" s="15"/>
      <c r="C90" s="16"/>
      <c r="D90" s="17"/>
      <c r="E90" s="17"/>
      <c r="F90" s="17"/>
      <c r="G90" s="17"/>
      <c r="H90" s="18"/>
    </row>
    <row r="91" spans="1:8" ht="13.9" customHeight="1" x14ac:dyDescent="0.2">
      <c r="A91" s="44">
        <f t="shared" si="0"/>
        <v>51</v>
      </c>
      <c r="B91" s="15"/>
      <c r="C91" s="16"/>
      <c r="D91" s="17"/>
      <c r="E91" s="17"/>
      <c r="F91" s="17"/>
      <c r="G91" s="17"/>
      <c r="H91" s="18"/>
    </row>
    <row r="92" spans="1:8" ht="13.9" customHeight="1" x14ac:dyDescent="0.2">
      <c r="A92" s="44">
        <f t="shared" si="0"/>
        <v>52</v>
      </c>
      <c r="B92" s="15"/>
      <c r="C92" s="16"/>
      <c r="D92" s="17"/>
      <c r="E92" s="17"/>
      <c r="F92" s="17"/>
      <c r="G92" s="17"/>
      <c r="H92" s="18"/>
    </row>
    <row r="93" spans="1:8" ht="13.9" customHeight="1" x14ac:dyDescent="0.2">
      <c r="A93" s="44">
        <f t="shared" si="0"/>
        <v>53</v>
      </c>
      <c r="B93" s="15"/>
      <c r="C93" s="16"/>
      <c r="D93" s="17"/>
      <c r="E93" s="17"/>
      <c r="F93" s="17"/>
      <c r="G93" s="17"/>
      <c r="H93" s="18"/>
    </row>
    <row r="94" spans="1:8" ht="13.9" customHeight="1" x14ac:dyDescent="0.2">
      <c r="A94" s="44">
        <f t="shared" si="0"/>
        <v>54</v>
      </c>
      <c r="B94" s="15"/>
      <c r="C94" s="16"/>
      <c r="D94" s="17"/>
      <c r="E94" s="17"/>
      <c r="F94" s="17"/>
      <c r="G94" s="17"/>
      <c r="H94" s="18"/>
    </row>
    <row r="95" spans="1:8" ht="13.9" customHeight="1" x14ac:dyDescent="0.2">
      <c r="A95" s="44">
        <f t="shared" si="0"/>
        <v>55</v>
      </c>
      <c r="B95" s="15"/>
      <c r="C95" s="16"/>
      <c r="D95" s="17"/>
      <c r="E95" s="17"/>
      <c r="F95" s="17"/>
      <c r="G95" s="17"/>
      <c r="H95" s="18"/>
    </row>
    <row r="96" spans="1:8" ht="13.9" customHeight="1" x14ac:dyDescent="0.2">
      <c r="A96" s="44">
        <f t="shared" si="0"/>
        <v>56</v>
      </c>
      <c r="B96" s="15"/>
      <c r="C96" s="16"/>
      <c r="D96" s="17"/>
      <c r="E96" s="17"/>
      <c r="F96" s="17"/>
      <c r="G96" s="17"/>
      <c r="H96" s="18"/>
    </row>
    <row r="97" spans="1:8" ht="13.9" customHeight="1" x14ac:dyDescent="0.2">
      <c r="A97" s="44">
        <f t="shared" si="0"/>
        <v>57</v>
      </c>
      <c r="B97" s="15"/>
      <c r="C97" s="16"/>
      <c r="D97" s="17"/>
      <c r="E97" s="17"/>
      <c r="F97" s="17"/>
      <c r="G97" s="17"/>
      <c r="H97" s="18"/>
    </row>
    <row r="98" spans="1:8" ht="13.9" customHeight="1" x14ac:dyDescent="0.2">
      <c r="A98" s="44">
        <f t="shared" si="0"/>
        <v>58</v>
      </c>
      <c r="B98" s="15"/>
      <c r="C98" s="16"/>
      <c r="D98" s="17"/>
      <c r="E98" s="17"/>
      <c r="F98" s="17"/>
      <c r="G98" s="17"/>
      <c r="H98" s="18"/>
    </row>
    <row r="99" spans="1:8" ht="13.9" customHeight="1" x14ac:dyDescent="0.2">
      <c r="A99" s="44">
        <f t="shared" si="0"/>
        <v>59</v>
      </c>
      <c r="B99" s="15"/>
      <c r="C99" s="16"/>
      <c r="D99" s="17"/>
      <c r="E99" s="17"/>
      <c r="F99" s="17"/>
      <c r="G99" s="17"/>
      <c r="H99" s="18"/>
    </row>
    <row r="100" spans="1:8" ht="13.9" customHeight="1" x14ac:dyDescent="0.2">
      <c r="A100" s="44">
        <f t="shared" si="0"/>
        <v>60</v>
      </c>
      <c r="B100" s="15"/>
      <c r="C100" s="16"/>
      <c r="D100" s="17"/>
      <c r="E100" s="17"/>
      <c r="F100" s="17"/>
      <c r="G100" s="17"/>
      <c r="H100" s="18"/>
    </row>
    <row r="101" spans="1:8" ht="13.9" customHeight="1" x14ac:dyDescent="0.2">
      <c r="A101" s="44">
        <f t="shared" si="0"/>
        <v>61</v>
      </c>
      <c r="B101" s="15"/>
      <c r="C101" s="16"/>
      <c r="D101" s="17"/>
      <c r="E101" s="17"/>
      <c r="F101" s="17"/>
      <c r="G101" s="17"/>
      <c r="H101" s="18"/>
    </row>
    <row r="102" spans="1:8" ht="13.9" customHeight="1" x14ac:dyDescent="0.2">
      <c r="A102" s="44">
        <f t="shared" si="0"/>
        <v>62</v>
      </c>
      <c r="B102" s="15"/>
      <c r="C102" s="16"/>
      <c r="D102" s="17"/>
      <c r="E102" s="17"/>
      <c r="F102" s="17"/>
      <c r="G102" s="17"/>
      <c r="H102" s="18"/>
    </row>
    <row r="103" spans="1:8" ht="13.9" customHeight="1" x14ac:dyDescent="0.2">
      <c r="A103" s="44">
        <f t="shared" si="0"/>
        <v>63</v>
      </c>
      <c r="B103" s="15"/>
      <c r="C103" s="16"/>
      <c r="D103" s="17"/>
      <c r="E103" s="17"/>
      <c r="F103" s="17"/>
      <c r="G103" s="17"/>
      <c r="H103" s="18"/>
    </row>
    <row r="104" spans="1:8" ht="13.9" customHeight="1" x14ac:dyDescent="0.2">
      <c r="A104" s="44">
        <f t="shared" si="0"/>
        <v>64</v>
      </c>
      <c r="B104" s="15"/>
      <c r="C104" s="16"/>
      <c r="D104" s="17"/>
      <c r="E104" s="17"/>
      <c r="F104" s="17"/>
      <c r="G104" s="17"/>
      <c r="H104" s="18"/>
    </row>
    <row r="105" spans="1:8" ht="13.9" customHeight="1" x14ac:dyDescent="0.2">
      <c r="A105" s="44">
        <f t="shared" si="0"/>
        <v>65</v>
      </c>
      <c r="B105" s="15"/>
      <c r="C105" s="16"/>
      <c r="D105" s="17"/>
      <c r="E105" s="17"/>
      <c r="F105" s="17"/>
      <c r="G105" s="17"/>
      <c r="H105" s="18"/>
    </row>
    <row r="106" spans="1:8" ht="13.9" customHeight="1" x14ac:dyDescent="0.2">
      <c r="A106" s="44">
        <f t="shared" ref="A106:A120" si="1">A105+1</f>
        <v>66</v>
      </c>
      <c r="B106" s="15"/>
      <c r="C106" s="16"/>
      <c r="D106" s="17"/>
      <c r="E106" s="17"/>
      <c r="F106" s="17"/>
      <c r="G106" s="17"/>
      <c r="H106" s="18"/>
    </row>
    <row r="107" spans="1:8" ht="13.9" customHeight="1" x14ac:dyDescent="0.2">
      <c r="A107" s="44">
        <f t="shared" si="1"/>
        <v>67</v>
      </c>
      <c r="B107" s="15"/>
      <c r="C107" s="16"/>
      <c r="D107" s="17"/>
      <c r="E107" s="17"/>
      <c r="F107" s="17"/>
      <c r="G107" s="17"/>
      <c r="H107" s="18"/>
    </row>
    <row r="108" spans="1:8" ht="13.9" customHeight="1" x14ac:dyDescent="0.2">
      <c r="A108" s="44">
        <f t="shared" si="1"/>
        <v>68</v>
      </c>
      <c r="B108" s="15"/>
      <c r="C108" s="16"/>
      <c r="D108" s="17"/>
      <c r="E108" s="17"/>
      <c r="F108" s="17"/>
      <c r="G108" s="17"/>
      <c r="H108" s="18"/>
    </row>
    <row r="109" spans="1:8" ht="13.9" customHeight="1" x14ac:dyDescent="0.2">
      <c r="A109" s="44">
        <f t="shared" si="1"/>
        <v>69</v>
      </c>
      <c r="B109" s="15"/>
      <c r="C109" s="16"/>
      <c r="D109" s="17"/>
      <c r="E109" s="17"/>
      <c r="F109" s="17"/>
      <c r="G109" s="17"/>
      <c r="H109" s="18"/>
    </row>
    <row r="110" spans="1:8" ht="13.9" customHeight="1" x14ac:dyDescent="0.2">
      <c r="A110" s="44">
        <f t="shared" si="1"/>
        <v>70</v>
      </c>
      <c r="B110" s="15"/>
      <c r="C110" s="16"/>
      <c r="D110" s="17"/>
      <c r="E110" s="17"/>
      <c r="F110" s="17"/>
      <c r="G110" s="17"/>
      <c r="H110" s="18"/>
    </row>
    <row r="111" spans="1:8" ht="13.9" customHeight="1" x14ac:dyDescent="0.2">
      <c r="A111" s="44">
        <f t="shared" si="1"/>
        <v>71</v>
      </c>
      <c r="B111" s="15"/>
      <c r="C111" s="16"/>
      <c r="D111" s="17"/>
      <c r="E111" s="17"/>
      <c r="F111" s="17"/>
      <c r="G111" s="17"/>
      <c r="H111" s="18"/>
    </row>
    <row r="112" spans="1:8" ht="13.9" customHeight="1" x14ac:dyDescent="0.2">
      <c r="A112" s="44">
        <f t="shared" si="1"/>
        <v>72</v>
      </c>
      <c r="B112" s="15"/>
      <c r="C112" s="16"/>
      <c r="D112" s="17"/>
      <c r="E112" s="17"/>
      <c r="F112" s="17"/>
      <c r="G112" s="17"/>
      <c r="H112" s="18"/>
    </row>
    <row r="113" spans="1:8" ht="13.9" customHeight="1" x14ac:dyDescent="0.2">
      <c r="A113" s="44">
        <f t="shared" si="1"/>
        <v>73</v>
      </c>
      <c r="B113" s="15"/>
      <c r="C113" s="16"/>
      <c r="D113" s="17"/>
      <c r="E113" s="17"/>
      <c r="F113" s="17"/>
      <c r="G113" s="17"/>
      <c r="H113" s="18"/>
    </row>
    <row r="114" spans="1:8" ht="13.9" customHeight="1" x14ac:dyDescent="0.2">
      <c r="A114" s="44">
        <f t="shared" si="1"/>
        <v>74</v>
      </c>
      <c r="B114" s="15"/>
      <c r="C114" s="16"/>
      <c r="D114" s="17"/>
      <c r="E114" s="17"/>
      <c r="F114" s="17"/>
      <c r="G114" s="17"/>
      <c r="H114" s="18"/>
    </row>
    <row r="115" spans="1:8" ht="13.9" customHeight="1" x14ac:dyDescent="0.2">
      <c r="A115" s="44">
        <f t="shared" si="1"/>
        <v>75</v>
      </c>
      <c r="B115" s="15"/>
      <c r="C115" s="16"/>
      <c r="D115" s="17"/>
      <c r="E115" s="17"/>
      <c r="F115" s="17"/>
      <c r="G115" s="17"/>
      <c r="H115" s="18"/>
    </row>
    <row r="116" spans="1:8" ht="13.9" customHeight="1" x14ac:dyDescent="0.2">
      <c r="A116" s="44">
        <f t="shared" si="1"/>
        <v>76</v>
      </c>
      <c r="B116" s="15"/>
      <c r="C116" s="16"/>
      <c r="D116" s="17"/>
      <c r="E116" s="17"/>
      <c r="F116" s="17"/>
      <c r="G116" s="17"/>
      <c r="H116" s="18"/>
    </row>
    <row r="117" spans="1:8" ht="13.9" customHeight="1" x14ac:dyDescent="0.2">
      <c r="A117" s="44">
        <f t="shared" si="1"/>
        <v>77</v>
      </c>
      <c r="B117" s="15"/>
      <c r="C117" s="16"/>
      <c r="D117" s="17"/>
      <c r="E117" s="17"/>
      <c r="F117" s="17"/>
      <c r="G117" s="17"/>
      <c r="H117" s="18"/>
    </row>
    <row r="118" spans="1:8" ht="13.9" customHeight="1" x14ac:dyDescent="0.2">
      <c r="A118" s="44">
        <f t="shared" si="1"/>
        <v>78</v>
      </c>
      <c r="B118" s="15"/>
      <c r="C118" s="16"/>
      <c r="D118" s="17"/>
      <c r="E118" s="17"/>
      <c r="F118" s="17"/>
      <c r="G118" s="17"/>
      <c r="H118" s="18"/>
    </row>
    <row r="119" spans="1:8" ht="13.9" customHeight="1" x14ac:dyDescent="0.2">
      <c r="A119" s="44">
        <f t="shared" si="1"/>
        <v>79</v>
      </c>
      <c r="B119" s="15"/>
      <c r="C119" s="16"/>
      <c r="D119" s="17"/>
      <c r="E119" s="17"/>
      <c r="F119" s="17"/>
      <c r="G119" s="17"/>
      <c r="H119" s="18"/>
    </row>
    <row r="120" spans="1:8" ht="13.9" customHeight="1" x14ac:dyDescent="0.2">
      <c r="A120" s="44">
        <f t="shared" si="1"/>
        <v>80</v>
      </c>
      <c r="B120" s="15"/>
      <c r="C120" s="16"/>
      <c r="D120" s="17"/>
      <c r="E120" s="17"/>
      <c r="F120" s="17"/>
      <c r="G120" s="17"/>
      <c r="H120" s="18"/>
    </row>
  </sheetData>
  <sheetProtection algorithmName="SHA-512" hashValue="QraeP5EffPVrWsIW6fS4us6rQ/qnq1zuFqgonpvSJUUPqglrXye0a5YJsIex2D6xJbQFA/nQ5pZ8nXtYCdAmvA==" saltValue="4eMUAqtUW3zyp84BNnoWvw==" spinCount="100000" sheet="1" objects="1" scenarios="1" selectLockedCells="1"/>
  <mergeCells count="21">
    <mergeCell ref="C6:H6"/>
    <mergeCell ref="C7:H7"/>
    <mergeCell ref="H38:H40"/>
    <mergeCell ref="G38:G40"/>
    <mergeCell ref="F23:H23"/>
    <mergeCell ref="C38:C40"/>
    <mergeCell ref="D38:D40"/>
    <mergeCell ref="D35:F35"/>
    <mergeCell ref="F38:F40"/>
    <mergeCell ref="E38:E40"/>
    <mergeCell ref="D26:F26"/>
    <mergeCell ref="D27:F27"/>
    <mergeCell ref="D28:F28"/>
    <mergeCell ref="D29:F29"/>
    <mergeCell ref="D30:F30"/>
    <mergeCell ref="D31:F31"/>
    <mergeCell ref="D32:F32"/>
    <mergeCell ref="A38:A40"/>
    <mergeCell ref="B38:B40"/>
    <mergeCell ref="D33:F33"/>
    <mergeCell ref="D34:F34"/>
  </mergeCells>
  <phoneticPr fontId="0" type="noConversion"/>
  <conditionalFormatting sqref="F23:H23">
    <cfRule type="cellIs" dxfId="21" priority="1" operator="notEqual">
      <formula>"Dateneingabe für gesamten Betrachtungszeitraum erfolgt"</formula>
    </cfRule>
  </conditionalFormatting>
  <hyperlinks>
    <hyperlink ref="H14" r:id="rId1" display="LINK zu BORIS-TH"/>
    <hyperlink ref="H21" r:id="rId2" display="SachwertR 2012 (Anklicken)"/>
  </hyperlinks>
  <pageMargins left="0.74803149606299213" right="0.78740157480314965" top="1.2204724409448819" bottom="0.98425196850393704" header="0.51181102362204722" footer="0.51181102362204722"/>
  <pageSetup paperSize="9" scale="85" fitToHeight="0" orientation="portrait" r:id="rId3"/>
  <headerFooter alignWithMargins="0">
    <oddHeader>&amp;L&amp;G&amp;C&amp;"-,Standard"&amp;K01+000Arbeitsblatt 1 - Eingabe der Objektdaten&amp;R&amp;"-,Standard"&amp;D</oddHeader>
    <oddFooter>&amp;C&amp;"-,Standard"Seite &amp;P von &amp;N&amp;R&amp;"-,Standard"Versionsstand: v17.01.11</oddFooter>
  </headerFooter>
  <rowBreaks count="1" manualBreakCount="1">
    <brk id="61" max="8" man="1"/>
  </rowBreaks>
  <drawing r:id="rId4"/>
  <legacyDrawing r:id="rId5"/>
  <legacyDrawingHF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2"/>
  <sheetViews>
    <sheetView showGridLines="0" tabSelected="1" topLeftCell="A64" zoomScale="115" zoomScaleNormal="115" workbookViewId="0">
      <selection activeCell="E20" sqref="E20"/>
    </sheetView>
  </sheetViews>
  <sheetFormatPr baseColWidth="10" defaultColWidth="10.7109375" defaultRowHeight="12.75" x14ac:dyDescent="0.2"/>
  <cols>
    <col min="1" max="1" width="26.7109375" style="155" customWidth="1"/>
    <col min="2" max="3" width="17.85546875" style="155" customWidth="1"/>
    <col min="4" max="4" width="14.28515625" style="155" customWidth="1"/>
    <col min="5" max="6" width="6.7109375" style="155" customWidth="1"/>
    <col min="7" max="7" width="7.7109375" style="156" customWidth="1"/>
    <col min="8" max="8" width="14.7109375" style="156" customWidth="1"/>
    <col min="9" max="9" width="8.7109375" style="156" customWidth="1"/>
    <col min="10" max="16384" width="10.7109375" style="155"/>
  </cols>
  <sheetData>
    <row r="1" spans="1:12" x14ac:dyDescent="0.2">
      <c r="A1" s="154" t="s">
        <v>127</v>
      </c>
      <c r="B1" s="154"/>
      <c r="C1" s="154"/>
    </row>
    <row r="3" spans="1:12" x14ac:dyDescent="0.2">
      <c r="A3" s="155" t="s">
        <v>11</v>
      </c>
      <c r="B3" s="198" t="str">
        <f>'1 | Eingabe der Objektdaten'!C6</f>
        <v xml:space="preserve">WG Muster </v>
      </c>
      <c r="C3" s="198"/>
      <c r="D3" s="198"/>
      <c r="E3" s="198"/>
      <c r="F3" s="198"/>
      <c r="G3" s="198"/>
      <c r="H3" s="198"/>
    </row>
    <row r="4" spans="1:12" x14ac:dyDescent="0.2">
      <c r="A4" s="155" t="s">
        <v>13</v>
      </c>
      <c r="B4" s="199" t="str">
        <f>'1 | Eingabe der Objektdaten'!C7</f>
        <v xml:space="preserve">Musterweg 15  </v>
      </c>
      <c r="C4" s="199"/>
      <c r="D4" s="199"/>
      <c r="E4" s="199"/>
      <c r="F4" s="199"/>
      <c r="G4" s="199"/>
      <c r="H4" s="199"/>
    </row>
    <row r="5" spans="1:12" x14ac:dyDescent="0.2">
      <c r="A5" s="155" t="s">
        <v>15</v>
      </c>
      <c r="B5" s="200">
        <f>'1 | Eingabe der Objektdaten'!C8</f>
        <v>44561</v>
      </c>
      <c r="E5" s="219"/>
    </row>
    <row r="6" spans="1:12" x14ac:dyDescent="0.2">
      <c r="E6" s="219"/>
    </row>
    <row r="7" spans="1:12" x14ac:dyDescent="0.2">
      <c r="A7" s="154" t="s">
        <v>128</v>
      </c>
      <c r="B7" s="154"/>
      <c r="C7" s="154"/>
      <c r="E7" s="219"/>
    </row>
    <row r="8" spans="1:12" x14ac:dyDescent="0.2">
      <c r="A8" s="157" t="s">
        <v>129</v>
      </c>
      <c r="B8" s="157"/>
      <c r="C8" s="157"/>
      <c r="D8" s="157"/>
      <c r="E8" s="158">
        <v>1</v>
      </c>
    </row>
    <row r="9" spans="1:12" x14ac:dyDescent="0.2">
      <c r="A9" s="159" t="s">
        <v>130</v>
      </c>
      <c r="B9" s="159"/>
      <c r="C9" s="159"/>
      <c r="E9" s="219"/>
    </row>
    <row r="10" spans="1:12" x14ac:dyDescent="0.2">
      <c r="A10" s="223" t="s">
        <v>131</v>
      </c>
      <c r="B10" s="160"/>
      <c r="C10" s="160"/>
      <c r="D10" s="161"/>
      <c r="E10" s="219"/>
    </row>
    <row r="11" spans="1:12" x14ac:dyDescent="0.2">
      <c r="A11" s="159"/>
      <c r="B11" s="159"/>
      <c r="C11" s="159"/>
      <c r="E11" s="219"/>
    </row>
    <row r="12" spans="1:12" x14ac:dyDescent="0.2">
      <c r="A12" s="154" t="s">
        <v>132</v>
      </c>
      <c r="B12" s="154"/>
      <c r="C12" s="154"/>
      <c r="E12" s="219"/>
      <c r="H12" s="162" t="s">
        <v>133</v>
      </c>
      <c r="I12" s="163"/>
    </row>
    <row r="13" spans="1:12" x14ac:dyDescent="0.2">
      <c r="A13" s="159" t="s">
        <v>134</v>
      </c>
      <c r="B13" s="159"/>
      <c r="C13" s="159"/>
      <c r="E13" s="219"/>
      <c r="H13" s="164"/>
      <c r="I13" s="165"/>
      <c r="K13" s="156"/>
      <c r="L13" s="156"/>
    </row>
    <row r="14" spans="1:12" x14ac:dyDescent="0.2">
      <c r="A14" s="159"/>
      <c r="B14" s="159"/>
      <c r="C14" s="159"/>
      <c r="E14" s="219"/>
      <c r="I14" s="165"/>
      <c r="K14" s="156"/>
      <c r="L14" s="156"/>
    </row>
    <row r="15" spans="1:12" x14ac:dyDescent="0.2">
      <c r="A15" s="154" t="s">
        <v>135</v>
      </c>
      <c r="B15" s="166"/>
      <c r="C15" s="166"/>
      <c r="E15" s="219"/>
      <c r="I15" s="165"/>
      <c r="K15" s="156"/>
      <c r="L15" s="156"/>
    </row>
    <row r="16" spans="1:12" ht="12.75" customHeight="1" x14ac:dyDescent="0.2">
      <c r="A16" s="167" t="s">
        <v>136</v>
      </c>
      <c r="B16" s="167" t="s">
        <v>137</v>
      </c>
      <c r="C16" s="167"/>
      <c r="D16" s="168" t="s">
        <v>138</v>
      </c>
      <c r="E16" s="169"/>
      <c r="F16" s="201" t="str">
        <f>IF(E16="x",-1,"")</f>
        <v/>
      </c>
      <c r="G16" s="202" t="str">
        <f>IF(F16="","",IF(F16&lt;&gt;0,"Punkt","Punkte"))</f>
        <v/>
      </c>
      <c r="H16" s="217"/>
      <c r="I16" s="170" t="str">
        <f>IF(COUNTIFS($E16:$E18,"&lt;&gt;"&amp;"")&gt;1,"Eingabe ungültig!","")</f>
        <v/>
      </c>
      <c r="K16" s="156"/>
      <c r="L16" s="156"/>
    </row>
    <row r="17" spans="1:12" x14ac:dyDescent="0.2">
      <c r="A17" s="167"/>
      <c r="B17" s="167"/>
      <c r="C17" s="167"/>
      <c r="D17" s="168" t="s">
        <v>139</v>
      </c>
      <c r="E17" s="169"/>
      <c r="F17" s="201" t="str">
        <f>IF(E17="x",0,"")</f>
        <v/>
      </c>
      <c r="G17" s="202" t="str">
        <f t="shared" ref="G17:G18" si="0">IF(F17="","",IF(F17&lt;&gt;0,"Punkt","Punkte"))</f>
        <v/>
      </c>
      <c r="H17" s="217"/>
      <c r="I17" s="170"/>
      <c r="K17" s="156"/>
      <c r="L17" s="156"/>
    </row>
    <row r="18" spans="1:12" x14ac:dyDescent="0.2">
      <c r="A18" s="171"/>
      <c r="B18" s="171"/>
      <c r="C18" s="171"/>
      <c r="D18" s="172" t="s">
        <v>140</v>
      </c>
      <c r="E18" s="173" t="s">
        <v>141</v>
      </c>
      <c r="F18" s="204">
        <f>IF(E18="x",1,"")</f>
        <v>1</v>
      </c>
      <c r="G18" s="205" t="str">
        <f t="shared" si="0"/>
        <v>Punkt</v>
      </c>
      <c r="H18" s="218"/>
      <c r="I18" s="170"/>
      <c r="K18" s="156"/>
      <c r="L18" s="156"/>
    </row>
    <row r="19" spans="1:12" x14ac:dyDescent="0.2">
      <c r="E19" s="219"/>
      <c r="F19" s="174"/>
      <c r="I19" s="165"/>
      <c r="K19" s="156"/>
      <c r="L19" s="156"/>
    </row>
    <row r="20" spans="1:12" ht="12.75" customHeight="1" x14ac:dyDescent="0.2">
      <c r="A20" s="175" t="s">
        <v>142</v>
      </c>
      <c r="B20" s="176" t="s">
        <v>143</v>
      </c>
      <c r="C20" s="176"/>
      <c r="D20" s="168" t="s">
        <v>144</v>
      </c>
      <c r="E20" s="169"/>
      <c r="F20" s="201" t="str">
        <f>IF(E20="x",-1,"")</f>
        <v/>
      </c>
      <c r="G20" s="202" t="str">
        <f>IF(F20="","",IF(F20&lt;&gt;0,"Punkt","Punkte"))</f>
        <v/>
      </c>
      <c r="H20" s="217"/>
      <c r="I20" s="170" t="str">
        <f>IF(COUNTIFS($E20:$E22,"&lt;&gt;"&amp;"")&gt;1,"Eingabe ungültig!","")</f>
        <v/>
      </c>
      <c r="K20" s="156"/>
      <c r="L20" s="156"/>
    </row>
    <row r="21" spans="1:12" x14ac:dyDescent="0.2">
      <c r="A21" s="175"/>
      <c r="B21" s="176"/>
      <c r="C21" s="176"/>
      <c r="D21" s="168" t="s">
        <v>145</v>
      </c>
      <c r="E21" s="169"/>
      <c r="F21" s="201" t="str">
        <f>IF(E21="x",0,"")</f>
        <v/>
      </c>
      <c r="G21" s="202" t="str">
        <f t="shared" ref="G21:G22" si="1">IF(F21="","",IF(F21&lt;&gt;0,"Punkt","Punkte"))</f>
        <v/>
      </c>
      <c r="H21" s="217"/>
      <c r="I21" s="170"/>
      <c r="K21" s="156"/>
      <c r="L21" s="156"/>
    </row>
    <row r="22" spans="1:12" x14ac:dyDescent="0.2">
      <c r="A22" s="177"/>
      <c r="B22" s="178"/>
      <c r="C22" s="178"/>
      <c r="D22" s="172" t="s">
        <v>146</v>
      </c>
      <c r="E22" s="173" t="s">
        <v>141</v>
      </c>
      <c r="F22" s="204">
        <f>IF(E22="x",1,"")</f>
        <v>1</v>
      </c>
      <c r="G22" s="205" t="str">
        <f t="shared" si="1"/>
        <v>Punkt</v>
      </c>
      <c r="H22" s="218"/>
      <c r="I22" s="170"/>
      <c r="K22" s="156"/>
      <c r="L22" s="156"/>
    </row>
    <row r="23" spans="1:12" x14ac:dyDescent="0.2">
      <c r="E23" s="220"/>
      <c r="F23" s="174" t="str">
        <f t="shared" ref="F23" si="2">IF(E23="x",0.25%,"")</f>
        <v/>
      </c>
      <c r="I23" s="165"/>
      <c r="K23" s="156"/>
      <c r="L23" s="156"/>
    </row>
    <row r="24" spans="1:12" ht="12.75" customHeight="1" x14ac:dyDescent="0.2">
      <c r="A24" s="175" t="s">
        <v>147</v>
      </c>
      <c r="B24" s="176" t="s">
        <v>148</v>
      </c>
      <c r="C24" s="176"/>
      <c r="D24" s="168" t="s">
        <v>149</v>
      </c>
      <c r="E24" s="169"/>
      <c r="F24" s="201" t="str">
        <f>IF(E24="x",-1,"")</f>
        <v/>
      </c>
      <c r="G24" s="202" t="str">
        <f>IF(F24="","",IF(F24&lt;&gt;0,"Punkt","Punkte"))</f>
        <v/>
      </c>
      <c r="H24" s="217"/>
      <c r="I24" s="170" t="str">
        <f>IF(COUNTIFS($E24:$E26,"&lt;&gt;"&amp;"")&gt;1,"Eingabe ungültig!","")</f>
        <v/>
      </c>
    </row>
    <row r="25" spans="1:12" x14ac:dyDescent="0.2">
      <c r="A25" s="175"/>
      <c r="B25" s="176"/>
      <c r="C25" s="176"/>
      <c r="D25" s="168" t="s">
        <v>150</v>
      </c>
      <c r="E25" s="169"/>
      <c r="F25" s="201" t="str">
        <f>IF(E25="x",0,"")</f>
        <v/>
      </c>
      <c r="G25" s="202" t="str">
        <f t="shared" ref="G25:G26" si="3">IF(F25="","",IF(F25&lt;&gt;0,"Punkt","Punkte"))</f>
        <v/>
      </c>
      <c r="H25" s="217"/>
      <c r="I25" s="170"/>
    </row>
    <row r="26" spans="1:12" x14ac:dyDescent="0.2">
      <c r="A26" s="177"/>
      <c r="B26" s="178"/>
      <c r="C26" s="178"/>
      <c r="D26" s="172" t="s">
        <v>151</v>
      </c>
      <c r="E26" s="173" t="s">
        <v>141</v>
      </c>
      <c r="F26" s="204">
        <f>IF(E26="x",1,"")</f>
        <v>1</v>
      </c>
      <c r="G26" s="205" t="str">
        <f t="shared" si="3"/>
        <v>Punkt</v>
      </c>
      <c r="H26" s="218"/>
      <c r="I26" s="170"/>
    </row>
    <row r="27" spans="1:12" x14ac:dyDescent="0.2">
      <c r="E27" s="220"/>
      <c r="F27" s="174"/>
      <c r="I27" s="165"/>
    </row>
    <row r="28" spans="1:12" ht="12.75" customHeight="1" x14ac:dyDescent="0.2">
      <c r="A28" s="175" t="s">
        <v>152</v>
      </c>
      <c r="B28" s="179" t="s">
        <v>153</v>
      </c>
      <c r="C28" s="180"/>
      <c r="D28" s="168" t="s">
        <v>144</v>
      </c>
      <c r="E28" s="169"/>
      <c r="F28" s="201" t="str">
        <f>IF(E28="x",-1,"")</f>
        <v/>
      </c>
      <c r="G28" s="202" t="str">
        <f>IF(F28="","",IF(F28&lt;&gt;0,"Punkt","Punkte"))</f>
        <v/>
      </c>
      <c r="H28" s="217"/>
      <c r="I28" s="170" t="str">
        <f>IF(COUNTIFS($E28:$E30,"&lt;&gt;"&amp;"")&gt;1,"Eingabe ungültig!","")</f>
        <v/>
      </c>
    </row>
    <row r="29" spans="1:12" x14ac:dyDescent="0.2">
      <c r="A29" s="167"/>
      <c r="B29" s="179" t="s">
        <v>154</v>
      </c>
      <c r="C29" s="180"/>
      <c r="D29" s="168" t="s">
        <v>155</v>
      </c>
      <c r="E29" s="169"/>
      <c r="F29" s="201" t="str">
        <f>IF(E29="x",0,"")</f>
        <v/>
      </c>
      <c r="G29" s="202" t="str">
        <f t="shared" ref="G29:G30" si="4">IF(F29="","",IF(F29&lt;&gt;0,"Punkt","Punkte"))</f>
        <v/>
      </c>
      <c r="H29" s="217"/>
      <c r="I29" s="170"/>
    </row>
    <row r="30" spans="1:12" x14ac:dyDescent="0.2">
      <c r="A30" s="171"/>
      <c r="B30" s="181" t="s">
        <v>156</v>
      </c>
      <c r="C30" s="182"/>
      <c r="D30" s="172" t="s">
        <v>146</v>
      </c>
      <c r="E30" s="173" t="s">
        <v>141</v>
      </c>
      <c r="F30" s="204">
        <f>IF(E30="x",1,"")</f>
        <v>1</v>
      </c>
      <c r="G30" s="205" t="str">
        <f t="shared" si="4"/>
        <v>Punkt</v>
      </c>
      <c r="H30" s="218"/>
      <c r="I30" s="170"/>
    </row>
    <row r="31" spans="1:12" x14ac:dyDescent="0.2">
      <c r="E31" s="220"/>
      <c r="F31" s="174"/>
      <c r="I31" s="165"/>
    </row>
    <row r="32" spans="1:12" ht="12.75" customHeight="1" x14ac:dyDescent="0.2">
      <c r="A32" s="167" t="s">
        <v>157</v>
      </c>
      <c r="B32" s="167" t="s">
        <v>158</v>
      </c>
      <c r="C32" s="167"/>
      <c r="D32" s="168" t="s">
        <v>144</v>
      </c>
      <c r="E32" s="169"/>
      <c r="F32" s="201" t="str">
        <f>IF(E32="x",-1,"")</f>
        <v/>
      </c>
      <c r="G32" s="202" t="str">
        <f>IF(F32="","",IF(F32&lt;&gt;0,"Punkt","Punkte"))</f>
        <v/>
      </c>
      <c r="H32" s="217"/>
      <c r="I32" s="170" t="str">
        <f>IF(COUNTIFS($E32:$E34,"&lt;&gt;"&amp;"")&gt;1,"Eingabe ungültig!","")</f>
        <v/>
      </c>
    </row>
    <row r="33" spans="1:9" x14ac:dyDescent="0.2">
      <c r="A33" s="167"/>
      <c r="B33" s="167"/>
      <c r="C33" s="167"/>
      <c r="D33" s="168" t="s">
        <v>155</v>
      </c>
      <c r="E33" s="169"/>
      <c r="F33" s="201" t="str">
        <f>IF(E33="x",0,"")</f>
        <v/>
      </c>
      <c r="G33" s="202" t="str">
        <f t="shared" ref="G33:G34" si="5">IF(F33="","",IF(F33&lt;&gt;0,"Punkt","Punkte"))</f>
        <v/>
      </c>
      <c r="H33" s="217"/>
      <c r="I33" s="170"/>
    </row>
    <row r="34" spans="1:9" x14ac:dyDescent="0.2">
      <c r="A34" s="171"/>
      <c r="B34" s="171"/>
      <c r="C34" s="171"/>
      <c r="D34" s="172" t="s">
        <v>146</v>
      </c>
      <c r="E34" s="173" t="s">
        <v>141</v>
      </c>
      <c r="F34" s="204">
        <f>IF(E34="x",1,"")</f>
        <v>1</v>
      </c>
      <c r="G34" s="205" t="str">
        <f t="shared" si="5"/>
        <v>Punkt</v>
      </c>
      <c r="H34" s="218"/>
      <c r="I34" s="170"/>
    </row>
    <row r="35" spans="1:9" ht="12.75" customHeight="1" x14ac:dyDescent="0.2">
      <c r="E35" s="220"/>
      <c r="F35" s="174"/>
      <c r="I35" s="165"/>
    </row>
    <row r="36" spans="1:9" x14ac:dyDescent="0.2">
      <c r="A36" s="183" t="s">
        <v>159</v>
      </c>
      <c r="B36" s="167" t="s">
        <v>160</v>
      </c>
      <c r="C36" s="167"/>
      <c r="D36" s="168" t="s">
        <v>144</v>
      </c>
      <c r="E36" s="169"/>
      <c r="F36" s="201" t="str">
        <f>IF(E36="x",-1,"")</f>
        <v/>
      </c>
      <c r="G36" s="202" t="str">
        <f>IF(F36="","",IF(F36&lt;&gt;0,"Punkt","Punkte"))</f>
        <v/>
      </c>
      <c r="H36" s="217"/>
      <c r="I36" s="170" t="str">
        <f>IF(COUNTIFS($E36:$E38,"&lt;&gt;"&amp;"")&gt;1,"Eingabe ungültig!","")</f>
        <v/>
      </c>
    </row>
    <row r="37" spans="1:9" x14ac:dyDescent="0.2">
      <c r="A37" s="184"/>
      <c r="B37" s="167"/>
      <c r="C37" s="167"/>
      <c r="D37" s="168" t="s">
        <v>155</v>
      </c>
      <c r="E37" s="169"/>
      <c r="F37" s="201" t="str">
        <f>IF(E37="x",0,"")</f>
        <v/>
      </c>
      <c r="G37" s="202" t="str">
        <f t="shared" ref="G37:G38" si="6">IF(F37="","",IF(F37&lt;&gt;0,"Punkt","Punkte"))</f>
        <v/>
      </c>
      <c r="H37" s="217"/>
      <c r="I37" s="170"/>
    </row>
    <row r="38" spans="1:9" x14ac:dyDescent="0.2">
      <c r="A38" s="185"/>
      <c r="B38" s="171"/>
      <c r="C38" s="171"/>
      <c r="D38" s="172" t="s">
        <v>146</v>
      </c>
      <c r="E38" s="173" t="s">
        <v>141</v>
      </c>
      <c r="F38" s="204">
        <f>IF(E38="x",1,"")</f>
        <v>1</v>
      </c>
      <c r="G38" s="205" t="str">
        <f t="shared" si="6"/>
        <v>Punkt</v>
      </c>
      <c r="H38" s="218"/>
      <c r="I38" s="170"/>
    </row>
    <row r="39" spans="1:9" x14ac:dyDescent="0.2">
      <c r="E39" s="220"/>
      <c r="F39" s="186"/>
      <c r="I39" s="165"/>
    </row>
    <row r="40" spans="1:9" x14ac:dyDescent="0.2">
      <c r="A40" s="154"/>
      <c r="B40" s="154"/>
      <c r="C40" s="154"/>
      <c r="D40" s="187" t="s">
        <v>161</v>
      </c>
      <c r="E40" s="220"/>
      <c r="F40" s="207">
        <f>SUM($F$36:$F$38,$F$32:$F$34,$F$28:$F$30,$F$24:$F$26,$F$20:$F$22,$F$16:$F$18)</f>
        <v>6</v>
      </c>
      <c r="G40" s="208" t="str">
        <f>IF(F40="","",IF(F40=1,"Punkt",IF(F40=-1,"Punkt","Punkte")))</f>
        <v>Punkte</v>
      </c>
      <c r="I40" s="165"/>
    </row>
    <row r="41" spans="1:9" x14ac:dyDescent="0.2">
      <c r="E41" s="220"/>
      <c r="F41" s="209">
        <f>F40*0.25</f>
        <v>1.5</v>
      </c>
      <c r="G41" s="202" t="str">
        <f>IF(F41&lt;&gt;"","%","")</f>
        <v>%</v>
      </c>
      <c r="I41" s="165"/>
    </row>
    <row r="42" spans="1:9" x14ac:dyDescent="0.2">
      <c r="A42" s="154" t="s">
        <v>162</v>
      </c>
      <c r="B42" s="166"/>
      <c r="C42" s="166"/>
      <c r="E42" s="219"/>
      <c r="I42" s="165"/>
    </row>
    <row r="43" spans="1:9" ht="12.75" customHeight="1" x14ac:dyDescent="0.2">
      <c r="A43" s="167" t="s">
        <v>163</v>
      </c>
      <c r="B43" s="179" t="s">
        <v>164</v>
      </c>
      <c r="C43" s="180"/>
      <c r="D43" s="168" t="s">
        <v>165</v>
      </c>
      <c r="E43" s="169"/>
      <c r="F43" s="201" t="str">
        <f>IF(E43="x",-1,"")</f>
        <v/>
      </c>
      <c r="G43" s="202" t="str">
        <f>IF(F43="","",IF(F43&lt;&gt;0,"Punkt","Punkte"))</f>
        <v/>
      </c>
      <c r="H43" s="217"/>
      <c r="I43" s="170" t="str">
        <f>IF(COUNTIFS($E43:$E45,"&lt;&gt;"&amp;"")&gt;1,"Eingabe ungültig!","")</f>
        <v/>
      </c>
    </row>
    <row r="44" spans="1:9" x14ac:dyDescent="0.2">
      <c r="A44" s="167"/>
      <c r="B44" s="179" t="s">
        <v>166</v>
      </c>
      <c r="C44" s="180"/>
      <c r="D44" s="168" t="s">
        <v>167</v>
      </c>
      <c r="E44" s="169"/>
      <c r="F44" s="201" t="str">
        <f>IF(E44="x",0,"")</f>
        <v/>
      </c>
      <c r="G44" s="202" t="str">
        <f t="shared" ref="G44:G45" si="7">IF(F44="","",IF(F44&lt;&gt;0,"Punkt","Punkte"))</f>
        <v/>
      </c>
      <c r="H44" s="217"/>
      <c r="I44" s="170"/>
    </row>
    <row r="45" spans="1:9" x14ac:dyDescent="0.2">
      <c r="A45" s="171"/>
      <c r="B45" s="181" t="s">
        <v>168</v>
      </c>
      <c r="C45" s="182"/>
      <c r="D45" s="172" t="s">
        <v>169</v>
      </c>
      <c r="E45" s="173" t="s">
        <v>141</v>
      </c>
      <c r="F45" s="204">
        <f>IF(E45="x",1,"")</f>
        <v>1</v>
      </c>
      <c r="G45" s="205" t="str">
        <f t="shared" si="7"/>
        <v>Punkt</v>
      </c>
      <c r="H45" s="218"/>
      <c r="I45" s="170"/>
    </row>
    <row r="46" spans="1:9" x14ac:dyDescent="0.2">
      <c r="E46" s="220"/>
      <c r="F46" s="186"/>
      <c r="I46" s="165"/>
    </row>
    <row r="47" spans="1:9" x14ac:dyDescent="0.2">
      <c r="A47" s="175" t="s">
        <v>170</v>
      </c>
      <c r="B47" s="179" t="s">
        <v>171</v>
      </c>
      <c r="C47" s="176" t="s">
        <v>172</v>
      </c>
      <c r="D47" s="168" t="s">
        <v>144</v>
      </c>
      <c r="E47" s="169"/>
      <c r="F47" s="201" t="str">
        <f>IF(E47="x",-1,"")</f>
        <v/>
      </c>
      <c r="G47" s="202" t="str">
        <f>IF(F47="","",IF(F47&lt;&gt;0,"Punkt","Punkte"))</f>
        <v/>
      </c>
      <c r="H47" s="217"/>
      <c r="I47" s="170" t="str">
        <f>IF(COUNTIFS($E47:$E49,"&lt;&gt;"&amp;"")&gt;1,"Eingabe ungültig!","")</f>
        <v/>
      </c>
    </row>
    <row r="48" spans="1:9" x14ac:dyDescent="0.2">
      <c r="A48" s="167"/>
      <c r="B48" s="179" t="s">
        <v>173</v>
      </c>
      <c r="C48" s="176"/>
      <c r="D48" s="168" t="s">
        <v>155</v>
      </c>
      <c r="E48" s="169"/>
      <c r="F48" s="201" t="str">
        <f>IF(E48="x",0,"")</f>
        <v/>
      </c>
      <c r="G48" s="202" t="str">
        <f t="shared" ref="G48:G49" si="8">IF(F48="","",IF(F48&lt;&gt;0,"Punkt","Punkte"))</f>
        <v/>
      </c>
      <c r="H48" s="217"/>
      <c r="I48" s="170"/>
    </row>
    <row r="49" spans="1:13" x14ac:dyDescent="0.2">
      <c r="A49" s="171"/>
      <c r="B49" s="181" t="s">
        <v>174</v>
      </c>
      <c r="C49" s="178"/>
      <c r="D49" s="172" t="s">
        <v>146</v>
      </c>
      <c r="E49" s="173" t="s">
        <v>141</v>
      </c>
      <c r="F49" s="204">
        <f>IF(E49="x",1,"")</f>
        <v>1</v>
      </c>
      <c r="G49" s="205" t="str">
        <f t="shared" si="8"/>
        <v>Punkt</v>
      </c>
      <c r="H49" s="218"/>
      <c r="I49" s="170"/>
    </row>
    <row r="50" spans="1:13" x14ac:dyDescent="0.2">
      <c r="E50" s="220"/>
      <c r="F50" s="186"/>
      <c r="I50" s="165"/>
    </row>
    <row r="51" spans="1:13" x14ac:dyDescent="0.2">
      <c r="A51" s="175" t="s">
        <v>175</v>
      </c>
      <c r="B51" s="179" t="s">
        <v>176</v>
      </c>
      <c r="C51" s="180"/>
      <c r="D51" s="168" t="s">
        <v>177</v>
      </c>
      <c r="E51" s="169"/>
      <c r="F51" s="201" t="str">
        <f>IF(E51="x",-1,"")</f>
        <v/>
      </c>
      <c r="G51" s="202" t="str">
        <f>IF(F51="","",IF(F51&lt;&gt;0,"Punkt","Punkte"))</f>
        <v/>
      </c>
      <c r="H51" s="217"/>
      <c r="I51" s="188" t="str">
        <f>IF(COUNTIFS($E51:$E52,"&lt;&gt;"&amp;"")&gt;1,"Eingabe ungültig!","")</f>
        <v/>
      </c>
    </row>
    <row r="52" spans="1:13" x14ac:dyDescent="0.2">
      <c r="A52" s="171"/>
      <c r="B52" s="181" t="s">
        <v>178</v>
      </c>
      <c r="C52" s="182"/>
      <c r="D52" s="172" t="s">
        <v>179</v>
      </c>
      <c r="E52" s="173" t="s">
        <v>141</v>
      </c>
      <c r="F52" s="204">
        <f>IF(E52="x",0,"")</f>
        <v>0</v>
      </c>
      <c r="G52" s="205" t="str">
        <f t="shared" ref="G52" si="9">IF(F52="","",IF(F52&lt;&gt;0,"Punkt","Punkte"))</f>
        <v>Punkte</v>
      </c>
      <c r="H52" s="218"/>
      <c r="I52" s="188"/>
    </row>
    <row r="53" spans="1:13" x14ac:dyDescent="0.2">
      <c r="E53" s="220"/>
      <c r="F53" s="186"/>
      <c r="I53" s="165"/>
    </row>
    <row r="54" spans="1:13" x14ac:dyDescent="0.2">
      <c r="A54" s="175" t="s">
        <v>180</v>
      </c>
      <c r="B54" s="179" t="s">
        <v>181</v>
      </c>
      <c r="C54" s="176" t="s">
        <v>172</v>
      </c>
      <c r="D54" s="168" t="s">
        <v>144</v>
      </c>
      <c r="E54" s="169"/>
      <c r="F54" s="201" t="str">
        <f>IF(E54="x",-1,"")</f>
        <v/>
      </c>
      <c r="G54" s="202" t="str">
        <f>IF(F54="","",IF(F54&lt;&gt;0,"Punkt","Punkte"))</f>
        <v/>
      </c>
      <c r="H54" s="217"/>
      <c r="I54" s="170" t="str">
        <f>IF(COUNTIFS($E54:$E56,"&lt;&gt;"&amp;"")&gt;1,"Eingabe ungültig!","")</f>
        <v/>
      </c>
    </row>
    <row r="55" spans="1:13" x14ac:dyDescent="0.2">
      <c r="A55" s="167"/>
      <c r="B55" s="179" t="s">
        <v>182</v>
      </c>
      <c r="C55" s="176"/>
      <c r="D55" s="168" t="s">
        <v>155</v>
      </c>
      <c r="E55" s="169"/>
      <c r="F55" s="201" t="str">
        <f>IF(E55="x",0,"")</f>
        <v/>
      </c>
      <c r="G55" s="202" t="str">
        <f t="shared" ref="G55:G56" si="10">IF(F55="","",IF(F55&lt;&gt;0,"Punkt","Punkte"))</f>
        <v/>
      </c>
      <c r="H55" s="217"/>
      <c r="I55" s="170"/>
    </row>
    <row r="56" spans="1:13" x14ac:dyDescent="0.2">
      <c r="A56" s="171"/>
      <c r="B56" s="181" t="s">
        <v>183</v>
      </c>
      <c r="C56" s="178"/>
      <c r="D56" s="172" t="s">
        <v>146</v>
      </c>
      <c r="E56" s="173" t="s">
        <v>141</v>
      </c>
      <c r="F56" s="204">
        <f>IF(E56="x",1,"")</f>
        <v>1</v>
      </c>
      <c r="G56" s="205" t="str">
        <f t="shared" si="10"/>
        <v>Punkt</v>
      </c>
      <c r="H56" s="218"/>
      <c r="I56" s="170"/>
    </row>
    <row r="57" spans="1:13" x14ac:dyDescent="0.2">
      <c r="E57" s="219"/>
      <c r="I57" s="165"/>
    </row>
    <row r="58" spans="1:13" x14ac:dyDescent="0.2">
      <c r="A58" s="175" t="s">
        <v>184</v>
      </c>
      <c r="B58" s="179" t="s">
        <v>185</v>
      </c>
      <c r="C58" s="180"/>
      <c r="D58" s="168" t="s">
        <v>186</v>
      </c>
      <c r="E58" s="169"/>
      <c r="F58" s="201" t="str">
        <f>IF(E58="x",0,"")</f>
        <v/>
      </c>
      <c r="G58" s="202" t="str">
        <f>IF(F58="","",IF(F58&lt;&gt;0,"Punkt","Punkte"))</f>
        <v/>
      </c>
      <c r="H58" s="217"/>
      <c r="I58" s="188" t="str">
        <f>IF(COUNTIFS($E58:$E59,"&lt;&gt;"&amp;"")&gt;1,"Eingabe ungültig!","")</f>
        <v/>
      </c>
    </row>
    <row r="59" spans="1:13" x14ac:dyDescent="0.2">
      <c r="A59" s="171"/>
      <c r="B59" s="181" t="s">
        <v>187</v>
      </c>
      <c r="C59" s="182"/>
      <c r="D59" s="172" t="s">
        <v>188</v>
      </c>
      <c r="E59" s="173" t="s">
        <v>141</v>
      </c>
      <c r="F59" s="204">
        <f>IF(E59="x",1,"")</f>
        <v>1</v>
      </c>
      <c r="G59" s="205" t="str">
        <f t="shared" ref="G59" si="11">IF(F59="","",IF(F59&lt;&gt;0,"Punkt","Punkte"))</f>
        <v>Punkt</v>
      </c>
      <c r="H59" s="218"/>
      <c r="I59" s="188"/>
    </row>
    <row r="60" spans="1:13" x14ac:dyDescent="0.2">
      <c r="E60" s="219"/>
      <c r="I60" s="165"/>
    </row>
    <row r="61" spans="1:13" x14ac:dyDescent="0.2">
      <c r="A61" s="175" t="s">
        <v>189</v>
      </c>
      <c r="B61" s="179" t="s">
        <v>181</v>
      </c>
      <c r="C61" s="176" t="s">
        <v>172</v>
      </c>
      <c r="D61" s="168" t="s">
        <v>144</v>
      </c>
      <c r="E61" s="169"/>
      <c r="F61" s="201" t="str">
        <f>IF(E61="x",-1,"")</f>
        <v/>
      </c>
      <c r="G61" s="202" t="str">
        <f>IF(F61="","",IF(F61&lt;&gt;0,"Punkt","Punkte"))</f>
        <v/>
      </c>
      <c r="H61" s="217"/>
      <c r="I61" s="170" t="str">
        <f>IF(COUNTIFS($E61:$E63,"&lt;&gt;"&amp;"")&gt;1,"Eingabe ungültig!","")</f>
        <v/>
      </c>
    </row>
    <row r="62" spans="1:13" x14ac:dyDescent="0.2">
      <c r="A62" s="167"/>
      <c r="B62" s="179" t="s">
        <v>182</v>
      </c>
      <c r="C62" s="176"/>
      <c r="D62" s="168" t="s">
        <v>155</v>
      </c>
      <c r="E62" s="169"/>
      <c r="F62" s="201" t="str">
        <f>IF(E62="x",0,"")</f>
        <v/>
      </c>
      <c r="G62" s="202" t="str">
        <f t="shared" ref="G62:G63" si="12">IF(F62="","",IF(F62&lt;&gt;0,"Punkt","Punkte"))</f>
        <v/>
      </c>
      <c r="H62" s="217"/>
      <c r="I62" s="170"/>
    </row>
    <row r="63" spans="1:13" x14ac:dyDescent="0.2">
      <c r="A63" s="171"/>
      <c r="B63" s="181" t="s">
        <v>183</v>
      </c>
      <c r="C63" s="178"/>
      <c r="D63" s="172" t="s">
        <v>146</v>
      </c>
      <c r="E63" s="173" t="s">
        <v>141</v>
      </c>
      <c r="F63" s="204">
        <f>IF(E63="x",1,"")</f>
        <v>1</v>
      </c>
      <c r="G63" s="205" t="str">
        <f t="shared" si="12"/>
        <v>Punkt</v>
      </c>
      <c r="H63" s="218"/>
      <c r="I63" s="170"/>
      <c r="M63" s="189"/>
    </row>
    <row r="64" spans="1:13" x14ac:dyDescent="0.2">
      <c r="E64" s="219"/>
      <c r="I64" s="165"/>
    </row>
    <row r="65" spans="1:9" x14ac:dyDescent="0.2">
      <c r="A65" s="175" t="s">
        <v>190</v>
      </c>
      <c r="B65" s="179" t="s">
        <v>181</v>
      </c>
      <c r="C65" s="176" t="s">
        <v>191</v>
      </c>
      <c r="D65" s="168" t="s">
        <v>144</v>
      </c>
      <c r="E65" s="169"/>
      <c r="F65" s="201" t="str">
        <f>IF(E65="x",-1,"")</f>
        <v/>
      </c>
      <c r="G65" s="202" t="str">
        <f>IF(F65="","",IF(F65&lt;&gt;0,"Punkt","Punkte"))</f>
        <v/>
      </c>
      <c r="H65" s="217"/>
      <c r="I65" s="170" t="str">
        <f>IF(COUNTIFS($E65:$E67,"&lt;&gt;"&amp;"")&gt;1,"Eingabe ungültig!","")</f>
        <v/>
      </c>
    </row>
    <row r="66" spans="1:9" x14ac:dyDescent="0.2">
      <c r="A66" s="167"/>
      <c r="B66" s="179" t="s">
        <v>182</v>
      </c>
      <c r="C66" s="176"/>
      <c r="D66" s="168" t="s">
        <v>155</v>
      </c>
      <c r="E66" s="169" t="s">
        <v>141</v>
      </c>
      <c r="F66" s="201">
        <f>IF(E66="x",0,"")</f>
        <v>0</v>
      </c>
      <c r="G66" s="202" t="str">
        <f t="shared" ref="G66:G67" si="13">IF(F66="","",IF(F66&lt;&gt;0,"Punkt","Punkte"))</f>
        <v>Punkte</v>
      </c>
      <c r="H66" s="217"/>
      <c r="I66" s="170"/>
    </row>
    <row r="67" spans="1:9" x14ac:dyDescent="0.2">
      <c r="A67" s="171"/>
      <c r="B67" s="181" t="s">
        <v>183</v>
      </c>
      <c r="C67" s="178"/>
      <c r="D67" s="172" t="s">
        <v>146</v>
      </c>
      <c r="E67" s="173"/>
      <c r="F67" s="204" t="str">
        <f>IF(E67="x",1,"")</f>
        <v/>
      </c>
      <c r="G67" s="205" t="str">
        <f t="shared" si="13"/>
        <v/>
      </c>
      <c r="H67" s="218"/>
      <c r="I67" s="170"/>
    </row>
    <row r="68" spans="1:9" x14ac:dyDescent="0.2">
      <c r="E68" s="219"/>
      <c r="I68" s="165"/>
    </row>
    <row r="69" spans="1:9" x14ac:dyDescent="0.2">
      <c r="D69" s="187" t="s">
        <v>161</v>
      </c>
      <c r="E69" s="220"/>
      <c r="F69" s="207">
        <f>SUM($F$65:$F$67,$F$61:$F$63,$F$58:$F$59,$F$54:$F$56,$F$51:$F$52,$F$47:$F$49,$F$43:$F$45)</f>
        <v>5</v>
      </c>
      <c r="G69" s="208" t="str">
        <f>IF(F69="","",IF(F69=1,"Punkt",IF(F69=-1,"Punkt","Punkte")))</f>
        <v>Punkte</v>
      </c>
      <c r="I69" s="165"/>
    </row>
    <row r="70" spans="1:9" x14ac:dyDescent="0.2">
      <c r="E70" s="220"/>
      <c r="F70" s="209">
        <f>F69*0.25</f>
        <v>1.25</v>
      </c>
      <c r="G70" s="202" t="str">
        <f>IF(F70&lt;&gt;"","%","")</f>
        <v>%</v>
      </c>
      <c r="I70" s="165"/>
    </row>
    <row r="71" spans="1:9" x14ac:dyDescent="0.2">
      <c r="E71" s="219"/>
    </row>
    <row r="72" spans="1:9" x14ac:dyDescent="0.2">
      <c r="A72" s="155" t="s">
        <v>192</v>
      </c>
      <c r="D72" s="190" t="s">
        <v>193</v>
      </c>
      <c r="E72" s="221"/>
      <c r="F72" s="191">
        <v>0.25</v>
      </c>
      <c r="G72" s="210" t="str">
        <f>IF(F72&lt;&gt;"","%","")</f>
        <v>%</v>
      </c>
      <c r="H72" s="203"/>
    </row>
    <row r="73" spans="1:9" x14ac:dyDescent="0.2">
      <c r="A73" s="172" t="s">
        <v>194</v>
      </c>
      <c r="B73" s="172"/>
      <c r="C73" s="172"/>
      <c r="D73" s="192"/>
      <c r="E73" s="222"/>
      <c r="F73" s="193"/>
      <c r="G73" s="211"/>
      <c r="H73" s="206"/>
    </row>
    <row r="76" spans="1:9" x14ac:dyDescent="0.2">
      <c r="A76" s="154" t="s">
        <v>195</v>
      </c>
    </row>
    <row r="78" spans="1:9" x14ac:dyDescent="0.2">
      <c r="A78" s="154" t="s">
        <v>196</v>
      </c>
      <c r="E78" s="202"/>
      <c r="F78" s="214">
        <f>E8</f>
        <v>1</v>
      </c>
      <c r="G78" s="208" t="str">
        <f>IF(F78&lt;&gt;"","%","")</f>
        <v>%</v>
      </c>
    </row>
    <row r="80" spans="1:9" x14ac:dyDescent="0.2">
      <c r="A80" s="194" t="s">
        <v>197</v>
      </c>
      <c r="E80" s="212">
        <f>F41</f>
        <v>1.5</v>
      </c>
      <c r="F80" s="213" t="str">
        <f>IF(E80&lt;&gt;"","%","")</f>
        <v>%</v>
      </c>
      <c r="G80" s="202"/>
    </row>
    <row r="81" spans="1:7" x14ac:dyDescent="0.2">
      <c r="E81" s="159"/>
      <c r="F81" s="195"/>
    </row>
    <row r="82" spans="1:7" x14ac:dyDescent="0.2">
      <c r="A82" s="194" t="s">
        <v>198</v>
      </c>
      <c r="E82" s="212">
        <f>F70</f>
        <v>1.25</v>
      </c>
      <c r="F82" s="213" t="str">
        <f>IF(E82&lt;&gt;"","%","")</f>
        <v>%</v>
      </c>
      <c r="G82" s="202"/>
    </row>
    <row r="83" spans="1:7" x14ac:dyDescent="0.2">
      <c r="E83" s="159"/>
      <c r="F83" s="195"/>
    </row>
    <row r="84" spans="1:7" x14ac:dyDescent="0.2">
      <c r="A84" s="194" t="s">
        <v>199</v>
      </c>
      <c r="E84" s="212">
        <f>F72</f>
        <v>0.25</v>
      </c>
      <c r="F84" s="213" t="str">
        <f>IF(E84&lt;&gt;"","%","")</f>
        <v>%</v>
      </c>
      <c r="G84" s="202"/>
    </row>
    <row r="85" spans="1:7" x14ac:dyDescent="0.2">
      <c r="E85" s="159"/>
      <c r="F85" s="195"/>
    </row>
    <row r="86" spans="1:7" x14ac:dyDescent="0.2">
      <c r="A86" s="196" t="s">
        <v>200</v>
      </c>
      <c r="E86" s="215">
        <f>E80+E82+E84</f>
        <v>3</v>
      </c>
      <c r="F86" s="213" t="str">
        <f>IF(E86&lt;&gt;"","%","")</f>
        <v>%</v>
      </c>
      <c r="G86" s="202"/>
    </row>
    <row r="88" spans="1:7" ht="12.75" customHeight="1" x14ac:dyDescent="0.2">
      <c r="A88" s="197" t="s">
        <v>201</v>
      </c>
      <c r="E88" s="216" t="str">
        <f>IF($E$86&gt;$E$8*0.5,"Kappung erforderlich",IF($E$86&lt;-$E$8*0.5,"Kappung erforderlich","keine Kappung erforderlich"))</f>
        <v>Kappung erforderlich</v>
      </c>
      <c r="F88" s="216"/>
      <c r="G88" s="216"/>
    </row>
    <row r="89" spans="1:7" x14ac:dyDescent="0.2">
      <c r="A89" s="194" t="s">
        <v>202</v>
      </c>
      <c r="E89" s="216"/>
      <c r="F89" s="216"/>
      <c r="G89" s="216"/>
    </row>
    <row r="91" spans="1:7" x14ac:dyDescent="0.2">
      <c r="A91" s="154" t="s">
        <v>203</v>
      </c>
      <c r="E91" s="202"/>
      <c r="F91" s="214">
        <f>IF($E$86&gt;$E$8*0.5,$E$8*0.5,IF($E$86&lt;-$E$8*0.5,-$E$8*0.5,E86))</f>
        <v>0.5</v>
      </c>
      <c r="G91" s="208" t="str">
        <f>IF(F91&lt;&gt;"","%","")</f>
        <v>%</v>
      </c>
    </row>
    <row r="93" spans="1:7" x14ac:dyDescent="0.2">
      <c r="A93" s="154" t="s">
        <v>204</v>
      </c>
      <c r="B93" s="154"/>
      <c r="C93" s="154"/>
      <c r="D93" s="154"/>
      <c r="E93" s="208"/>
      <c r="F93" s="214">
        <f>F91+E8</f>
        <v>1.5</v>
      </c>
      <c r="G93" s="208" t="str">
        <f>IF(F93&lt;&gt;"","%","")</f>
        <v>%</v>
      </c>
    </row>
    <row r="102" spans="5:5" x14ac:dyDescent="0.2">
      <c r="E102" s="186"/>
    </row>
  </sheetData>
  <sheetProtection algorithmName="SHA-512" hashValue="ywzxCvshz3D7g3v3R6L1ygFdFEGmUJRFESrSp55BAYVUrl/PNhRVqvkJs8NnJ9VOf14N/wruLHXlEIfnP3FWWA==" saltValue="WkXYhVUPbNPc/7ohATg+pw==" spinCount="100000" sheet="1" objects="1" scenarios="1" selectLockedCells="1"/>
  <mergeCells count="56">
    <mergeCell ref="D72:D73"/>
    <mergeCell ref="E72:E73"/>
    <mergeCell ref="F72:F73"/>
    <mergeCell ref="G72:G73"/>
    <mergeCell ref="H72:H73"/>
    <mergeCell ref="E88:G89"/>
    <mergeCell ref="A61:A63"/>
    <mergeCell ref="C61:C63"/>
    <mergeCell ref="H61:H63"/>
    <mergeCell ref="I61:I63"/>
    <mergeCell ref="A65:A67"/>
    <mergeCell ref="C65:C67"/>
    <mergeCell ref="H65:H67"/>
    <mergeCell ref="I65:I67"/>
    <mergeCell ref="A54:A56"/>
    <mergeCell ref="C54:C56"/>
    <mergeCell ref="H54:H56"/>
    <mergeCell ref="I54:I56"/>
    <mergeCell ref="A58:A59"/>
    <mergeCell ref="H58:H59"/>
    <mergeCell ref="I58:I59"/>
    <mergeCell ref="A47:A49"/>
    <mergeCell ref="C47:C49"/>
    <mergeCell ref="H47:H49"/>
    <mergeCell ref="I47:I49"/>
    <mergeCell ref="A51:A52"/>
    <mergeCell ref="H51:H52"/>
    <mergeCell ref="I51:I52"/>
    <mergeCell ref="B36:C38"/>
    <mergeCell ref="H36:H38"/>
    <mergeCell ref="I36:I38"/>
    <mergeCell ref="A43:A45"/>
    <mergeCell ref="H43:H45"/>
    <mergeCell ref="I43:I45"/>
    <mergeCell ref="A28:A30"/>
    <mergeCell ref="H28:H30"/>
    <mergeCell ref="I28:I30"/>
    <mergeCell ref="A32:A34"/>
    <mergeCell ref="B32:C34"/>
    <mergeCell ref="H32:H34"/>
    <mergeCell ref="I32:I34"/>
    <mergeCell ref="I16:I18"/>
    <mergeCell ref="A20:A22"/>
    <mergeCell ref="B20:C22"/>
    <mergeCell ref="H20:H22"/>
    <mergeCell ref="I20:I22"/>
    <mergeCell ref="A24:A26"/>
    <mergeCell ref="B24:C26"/>
    <mergeCell ref="H24:H26"/>
    <mergeCell ref="I24:I26"/>
    <mergeCell ref="B4:H4"/>
    <mergeCell ref="A8:D8"/>
    <mergeCell ref="H12:H13"/>
    <mergeCell ref="A16:A18"/>
    <mergeCell ref="B16:C18"/>
    <mergeCell ref="H16:H18"/>
  </mergeCells>
  <conditionalFormatting sqref="I16:I18 I20:I22 I24:I26 I28:I30 I32:I34 I36:I38 I43:I45 I47:I49 I51:I52 I54:I56 I58:I59 I61:I63 I65:I67">
    <cfRule type="cellIs" dxfId="1" priority="2" operator="equal">
      <formula>"Eingabe ungültig!"</formula>
    </cfRule>
  </conditionalFormatting>
  <conditionalFormatting sqref="E88">
    <cfRule type="cellIs" dxfId="0" priority="1" operator="equal">
      <formula>"Kappung erforderlich"</formula>
    </cfRule>
  </conditionalFormatting>
  <dataValidations count="2">
    <dataValidation type="list" allowBlank="1" showDropDown="1" showInputMessage="1" showErrorMessage="1" error="Bitte geben Sie einen gültigen Wert ein:_x000a_0,25 ; 0 ; -0,25" sqref="F72:F73">
      <mc:AlternateContent xmlns:x12ac="http://schemas.microsoft.com/office/spreadsheetml/2011/1/ac" xmlns:mc="http://schemas.openxmlformats.org/markup-compatibility/2006">
        <mc:Choice Requires="x12ac">
          <x12ac:list>"0,25",0,"-0,25"</x12ac:list>
        </mc:Choice>
        <mc:Fallback>
          <formula1>"0,25,0,-0,25"</formula1>
        </mc:Fallback>
      </mc:AlternateContent>
    </dataValidation>
    <dataValidation allowBlank="1" showInputMessage="1" showErrorMessage="1" error="Bitte geben Sie nur 1 Wert ein" sqref="E20:E22 E8 E24:E26 E28:E30 E32:E34 E36:E38 E43:E45 E47:E49 E51:E52 E54:E56 E58:E59 E61:E63 E65:E67"/>
  </dataValidations>
  <hyperlinks>
    <hyperlink ref="A10" r:id="rId1" location="c83487"/>
  </hyperlinks>
  <pageMargins left="0.70866141732283472" right="0.11811023622047245" top="0.78740157480314965" bottom="0.59055118110236227" header="0.31496062992125984" footer="0.31496062992125984"/>
  <pageSetup paperSize="9" scale="85" fitToHeight="0" orientation="portrait" r:id="rId2"/>
  <headerFooter alignWithMargins="0">
    <oddHeader>&amp;C&amp;"-,Standard"&amp;K01+000Arbeitsblatt 2 - Ermittlung des objektspezifischen Liegenschaftszinssatzes&amp;R&amp;"-,Standard"&amp;D</oddHeader>
    <oddFooter>&amp;C&amp;"-,Standard"Seite &amp;P von &amp;N&amp;R&amp;"-,Standard"Versionsstand: v17.01.11</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0" tint="-0.14999847407452621"/>
    <pageSetUpPr fitToPage="1"/>
  </sheetPr>
  <dimension ref="A1:L351"/>
  <sheetViews>
    <sheetView showGridLines="0" zoomScaleNormal="100" zoomScaleSheetLayoutView="100" workbookViewId="0">
      <selection activeCell="D5" sqref="D5"/>
    </sheetView>
  </sheetViews>
  <sheetFormatPr baseColWidth="10" defaultColWidth="11.5703125" defaultRowHeight="13.9" customHeight="1" x14ac:dyDescent="0.2"/>
  <cols>
    <col min="1" max="1" width="6.7109375" style="1" customWidth="1"/>
    <col min="2" max="2" width="11.7109375" style="1" customWidth="1"/>
    <col min="3" max="3" width="10.7109375" style="1" customWidth="1"/>
    <col min="4" max="4" width="11.7109375" style="1" customWidth="1"/>
    <col min="5" max="6" width="10.7109375" style="1" customWidth="1"/>
    <col min="7" max="7" width="11.42578125" style="1" customWidth="1"/>
    <col min="8" max="8" width="10.7109375" style="1" customWidth="1"/>
    <col min="9" max="9" width="11.7109375" style="1" customWidth="1"/>
    <col min="10" max="10" width="4.7109375" style="1" customWidth="1"/>
    <col min="11" max="11" width="6.5703125" style="1" customWidth="1"/>
    <col min="12" max="12" width="11.7109375" style="1" customWidth="1"/>
    <col min="13" max="13" width="2.7109375" style="1" customWidth="1"/>
    <col min="14" max="16384" width="11.5703125" style="1"/>
  </cols>
  <sheetData>
    <row r="1" spans="1:12" ht="13.9" customHeight="1" x14ac:dyDescent="0.2">
      <c r="A1" s="25" t="s">
        <v>48</v>
      </c>
      <c r="C1" s="1" t="str">
        <f>'1 | Eingabe der Objektdaten'!B6</f>
        <v>Eigentümer:</v>
      </c>
      <c r="D1" s="137" t="str">
        <f>'1 | Eingabe der Objektdaten'!C6</f>
        <v xml:space="preserve">WG Muster </v>
      </c>
      <c r="E1" s="137"/>
      <c r="F1" s="137"/>
      <c r="G1" s="137"/>
      <c r="H1" s="137"/>
      <c r="I1" s="137"/>
      <c r="J1" s="137"/>
      <c r="K1" s="137"/>
      <c r="L1" s="137"/>
    </row>
    <row r="2" spans="1:12" s="42" customFormat="1" ht="13.9" customHeight="1" x14ac:dyDescent="0.2">
      <c r="A2" s="46"/>
      <c r="C2" s="34" t="s">
        <v>13</v>
      </c>
      <c r="D2" s="137" t="str">
        <f>'1 | Eingabe der Objektdaten'!C7</f>
        <v xml:space="preserve">Musterweg 15  </v>
      </c>
      <c r="E2" s="137"/>
      <c r="F2" s="137"/>
      <c r="G2" s="137"/>
      <c r="H2" s="137"/>
      <c r="I2" s="137"/>
      <c r="J2" s="137"/>
      <c r="K2" s="137"/>
      <c r="L2" s="137"/>
    </row>
    <row r="3" spans="1:12" s="42" customFormat="1" ht="13.9" customHeight="1" x14ac:dyDescent="0.2">
      <c r="A3" s="46"/>
      <c r="C3" s="9" t="str">
        <f>'1 | Eingabe der Objektdaten'!B8</f>
        <v>Stichtag:</v>
      </c>
      <c r="D3" s="47">
        <f>'1 | Eingabe der Objektdaten'!C8</f>
        <v>44561</v>
      </c>
      <c r="E3" s="48"/>
      <c r="F3" s="48"/>
      <c r="G3" s="48"/>
      <c r="H3" s="48"/>
      <c r="I3" s="48"/>
      <c r="J3" s="48"/>
      <c r="K3" s="48"/>
      <c r="L3" s="48"/>
    </row>
    <row r="4" spans="1:12" ht="13.9" customHeight="1" thickBot="1" x14ac:dyDescent="0.25"/>
    <row r="5" spans="1:12" ht="13.9" customHeight="1" thickBot="1" x14ac:dyDescent="0.25">
      <c r="C5" s="34" t="s">
        <v>49</v>
      </c>
      <c r="D5" s="19">
        <f>'2 | Ermittlung Liegenschatfsz.'!$F$93/100</f>
        <v>1.4999999999999999E-2</v>
      </c>
      <c r="H5" s="49"/>
      <c r="I5" s="50" t="s">
        <v>50</v>
      </c>
      <c r="J5" s="135">
        <f>L90</f>
        <v>164169.4994884312</v>
      </c>
      <c r="K5" s="136"/>
      <c r="L5" s="119" t="s">
        <v>18</v>
      </c>
    </row>
    <row r="7" spans="1:12" ht="13.9" customHeight="1" x14ac:dyDescent="0.2">
      <c r="A7" s="123" t="s">
        <v>40</v>
      </c>
      <c r="B7" s="123" t="s">
        <v>51</v>
      </c>
      <c r="C7" s="123" t="s">
        <v>52</v>
      </c>
      <c r="D7" s="123" t="s">
        <v>53</v>
      </c>
      <c r="E7" s="123" t="s">
        <v>54</v>
      </c>
      <c r="F7" s="123" t="s">
        <v>55</v>
      </c>
      <c r="G7" s="123" t="s">
        <v>56</v>
      </c>
      <c r="H7" s="123" t="s">
        <v>57</v>
      </c>
      <c r="I7" s="123" t="s">
        <v>58</v>
      </c>
      <c r="J7" s="123" t="s">
        <v>59</v>
      </c>
      <c r="K7" s="123" t="s">
        <v>60</v>
      </c>
      <c r="L7" s="123" t="s">
        <v>61</v>
      </c>
    </row>
    <row r="8" spans="1:12" ht="13.9" customHeight="1" x14ac:dyDescent="0.2">
      <c r="A8" s="124"/>
      <c r="B8" s="124"/>
      <c r="C8" s="124"/>
      <c r="D8" s="124"/>
      <c r="E8" s="124"/>
      <c r="F8" s="124"/>
      <c r="G8" s="124"/>
      <c r="H8" s="124"/>
      <c r="I8" s="124"/>
      <c r="J8" s="124"/>
      <c r="K8" s="124"/>
      <c r="L8" s="124"/>
    </row>
    <row r="9" spans="1:12" ht="13.9" customHeight="1" x14ac:dyDescent="0.2">
      <c r="A9" s="125"/>
      <c r="B9" s="125"/>
      <c r="C9" s="125"/>
      <c r="D9" s="125"/>
      <c r="E9" s="125"/>
      <c r="F9" s="125"/>
      <c r="G9" s="125"/>
      <c r="H9" s="125"/>
      <c r="I9" s="125"/>
      <c r="J9" s="125"/>
      <c r="K9" s="125"/>
      <c r="L9" s="125"/>
    </row>
    <row r="10" spans="1:12" ht="13.9" customHeight="1" x14ac:dyDescent="0.2">
      <c r="A10" s="44">
        <f>'1 | Eingabe der Objektdaten'!A41</f>
        <v>1</v>
      </c>
      <c r="B10" s="20">
        <f>'1 | Eingabe der Objektdaten'!C41*'1 | Eingabe der Objektdaten'!D41*12</f>
        <v>28446.912</v>
      </c>
      <c r="C10" s="20">
        <f>B10*'1 | Eingabe der Objektdaten'!H41</f>
        <v>11862.362304</v>
      </c>
      <c r="D10" s="17"/>
      <c r="E10" s="20">
        <f>'1 | Eingabe der Objektdaten'!F41</f>
        <v>1500</v>
      </c>
      <c r="F10" s="20">
        <f>'1 | Eingabe der Objektdaten'!E41*'1 | Eingabe der Objektdaten'!B41</f>
        <v>3360</v>
      </c>
      <c r="G10" s="20">
        <f>'1 | Eingabe der Objektdaten'!G41*'1 | Eingabe der Objektdaten'!C41</f>
        <v>4401.5999999999995</v>
      </c>
      <c r="H10" s="20">
        <f>IF('1 | Eingabe der Objektdaten'!$F$22&gt;0,'1 | Eingabe der Objektdaten'!$F$14*'1 | Eingabe der Objektdaten'!$F$13*'3 | Ermittlung des Ertragswerts'!$D$5,0)</f>
        <v>487.065</v>
      </c>
      <c r="I10" s="51">
        <f>B10-C10+D10-E10-F10-G10-H10</f>
        <v>6835.8846960000028</v>
      </c>
      <c r="J10" s="52">
        <v>1</v>
      </c>
      <c r="K10" s="53">
        <f>1/POWER((1+D5),J10)</f>
        <v>0.98522167487684742</v>
      </c>
      <c r="L10" s="51">
        <f t="shared" ref="L10:L52" si="0">I10*K10</f>
        <v>6734.8617694581317</v>
      </c>
    </row>
    <row r="11" spans="1:12" ht="13.9" customHeight="1" x14ac:dyDescent="0.2">
      <c r="A11" s="44">
        <f>'1 | Eingabe der Objektdaten'!A42</f>
        <v>2</v>
      </c>
      <c r="B11" s="20">
        <f>'1 | Eingabe der Objektdaten'!C42*'1 | Eingabe der Objektdaten'!D42*12</f>
        <v>28446.912</v>
      </c>
      <c r="C11" s="20">
        <f>B11*'1 | Eingabe der Objektdaten'!H42</f>
        <v>11862.362304</v>
      </c>
      <c r="D11" s="17"/>
      <c r="E11" s="20">
        <f>'1 | Eingabe der Objektdaten'!F42</f>
        <v>1500</v>
      </c>
      <c r="F11" s="20">
        <f>'1 | Eingabe der Objektdaten'!E42*'1 | Eingabe der Objektdaten'!B42</f>
        <v>3360</v>
      </c>
      <c r="G11" s="20">
        <f>'1 | Eingabe der Objektdaten'!G42*'1 | Eingabe der Objektdaten'!C42</f>
        <v>4401.5999999999995</v>
      </c>
      <c r="H11" s="20">
        <f>IF('1 | Eingabe der Objektdaten'!$F$22-1&gt;0,'1 | Eingabe der Objektdaten'!$F$14*'1 | Eingabe der Objektdaten'!$F$13*'3 | Ermittlung des Ertragswerts'!$D$5,0)</f>
        <v>487.065</v>
      </c>
      <c r="I11" s="51">
        <f t="shared" ref="I11:I52" si="1">B11-C11+D11-E11-F11-G11-H11</f>
        <v>6835.8846960000028</v>
      </c>
      <c r="J11" s="52">
        <f t="shared" ref="J11:J74" si="2">J10+1</f>
        <v>2</v>
      </c>
      <c r="K11" s="53">
        <f>1/POWER((1+D5),J11)</f>
        <v>0.9706617486471405</v>
      </c>
      <c r="L11" s="51">
        <f t="shared" si="0"/>
        <v>6635.3317925695892</v>
      </c>
    </row>
    <row r="12" spans="1:12" ht="13.9" customHeight="1" x14ac:dyDescent="0.2">
      <c r="A12" s="44">
        <f>'1 | Eingabe der Objektdaten'!A43</f>
        <v>3</v>
      </c>
      <c r="B12" s="20">
        <f>'1 | Eingabe der Objektdaten'!C43*'1 | Eingabe der Objektdaten'!D43*12</f>
        <v>28446.912</v>
      </c>
      <c r="C12" s="20">
        <f>B12*'1 | Eingabe der Objektdaten'!H43</f>
        <v>11862.362304</v>
      </c>
      <c r="D12" s="17"/>
      <c r="E12" s="20">
        <f>'1 | Eingabe der Objektdaten'!F43</f>
        <v>1500</v>
      </c>
      <c r="F12" s="20">
        <f>'1 | Eingabe der Objektdaten'!E43*'1 | Eingabe der Objektdaten'!B43</f>
        <v>3360</v>
      </c>
      <c r="G12" s="20">
        <f>'1 | Eingabe der Objektdaten'!G43*'1 | Eingabe der Objektdaten'!C43</f>
        <v>4401.5999999999995</v>
      </c>
      <c r="H12" s="20">
        <f>IF('1 | Eingabe der Objektdaten'!$F$22-2&gt;0,'1 | Eingabe der Objektdaten'!$F$14*'1 | Eingabe der Objektdaten'!$F$13*'3 | Ermittlung des Ertragswerts'!$D$5,0)</f>
        <v>487.065</v>
      </c>
      <c r="I12" s="51">
        <f t="shared" si="1"/>
        <v>6835.8846960000028</v>
      </c>
      <c r="J12" s="52">
        <f t="shared" si="2"/>
        <v>3</v>
      </c>
      <c r="K12" s="53">
        <f>1/POWER((1+D5),J12)</f>
        <v>0.95631699374102519</v>
      </c>
      <c r="L12" s="51">
        <f t="shared" si="0"/>
        <v>6537.2727020390048</v>
      </c>
    </row>
    <row r="13" spans="1:12" ht="13.9" customHeight="1" x14ac:dyDescent="0.2">
      <c r="A13" s="44">
        <f>'1 | Eingabe der Objektdaten'!A44</f>
        <v>4</v>
      </c>
      <c r="B13" s="20">
        <f>'1 | Eingabe der Objektdaten'!C44*'1 | Eingabe der Objektdaten'!D44*12</f>
        <v>28446.912</v>
      </c>
      <c r="C13" s="20">
        <f>B13*'1 | Eingabe der Objektdaten'!H44</f>
        <v>11862.362304</v>
      </c>
      <c r="D13" s="17"/>
      <c r="E13" s="20">
        <f>'1 | Eingabe der Objektdaten'!F44</f>
        <v>1500</v>
      </c>
      <c r="F13" s="20">
        <f>'1 | Eingabe der Objektdaten'!E44*'1 | Eingabe der Objektdaten'!B44</f>
        <v>3360</v>
      </c>
      <c r="G13" s="20">
        <f>'1 | Eingabe der Objektdaten'!G44*'1 | Eingabe der Objektdaten'!C44</f>
        <v>4401.5999999999995</v>
      </c>
      <c r="H13" s="20">
        <f>IF('1 | Eingabe der Objektdaten'!$F$22-3&gt;0,'1 | Eingabe der Objektdaten'!$F$14*'1 | Eingabe der Objektdaten'!$F$13*'3 | Ermittlung des Ertragswerts'!$D$5,0)</f>
        <v>487.065</v>
      </c>
      <c r="I13" s="51">
        <f t="shared" si="1"/>
        <v>6835.8846960000028</v>
      </c>
      <c r="J13" s="52">
        <f t="shared" si="2"/>
        <v>4</v>
      </c>
      <c r="K13" s="53">
        <f>1/POWER((1+D5),J13)</f>
        <v>0.94218423028672449</v>
      </c>
      <c r="L13" s="51">
        <f t="shared" si="0"/>
        <v>6440.6627606295624</v>
      </c>
    </row>
    <row r="14" spans="1:12" ht="13.9" customHeight="1" x14ac:dyDescent="0.2">
      <c r="A14" s="44">
        <f>'1 | Eingabe der Objektdaten'!A45</f>
        <v>5</v>
      </c>
      <c r="B14" s="20">
        <f>'1 | Eingabe der Objektdaten'!C45*'1 | Eingabe der Objektdaten'!D45*12</f>
        <v>28446.912</v>
      </c>
      <c r="C14" s="20">
        <f>B14*'1 | Eingabe der Objektdaten'!H45</f>
        <v>11862.362304</v>
      </c>
      <c r="D14" s="17"/>
      <c r="E14" s="20">
        <f>'1 | Eingabe der Objektdaten'!F45</f>
        <v>1500</v>
      </c>
      <c r="F14" s="20">
        <f>'1 | Eingabe der Objektdaten'!E45*'1 | Eingabe der Objektdaten'!B45</f>
        <v>3360</v>
      </c>
      <c r="G14" s="20">
        <f>'1 | Eingabe der Objektdaten'!G45*'1 | Eingabe der Objektdaten'!C45</f>
        <v>4401.5999999999995</v>
      </c>
      <c r="H14" s="20">
        <f>IF('1 | Eingabe der Objektdaten'!$F$22-4&gt;0,'1 | Eingabe der Objektdaten'!$F$14*'1 | Eingabe der Objektdaten'!$F$13*'3 | Ermittlung des Ertragswerts'!$D$5,0)</f>
        <v>487.065</v>
      </c>
      <c r="I14" s="51">
        <f t="shared" si="1"/>
        <v>6835.8846960000028</v>
      </c>
      <c r="J14" s="52">
        <f t="shared" si="2"/>
        <v>5</v>
      </c>
      <c r="K14" s="53">
        <f>1/POWER((1+D5),J14)</f>
        <v>0.92826032540563996</v>
      </c>
      <c r="L14" s="51">
        <f t="shared" si="0"/>
        <v>6345.4805523443965</v>
      </c>
    </row>
    <row r="15" spans="1:12" ht="13.9" customHeight="1" x14ac:dyDescent="0.2">
      <c r="A15" s="44">
        <f>'1 | Eingabe der Objektdaten'!A46</f>
        <v>6</v>
      </c>
      <c r="B15" s="20">
        <f>'1 | Eingabe der Objektdaten'!C46*'1 | Eingabe der Objektdaten'!D46*12</f>
        <v>28446.912</v>
      </c>
      <c r="C15" s="20">
        <f>B15*'1 | Eingabe der Objektdaten'!H46</f>
        <v>11862.362304</v>
      </c>
      <c r="D15" s="17"/>
      <c r="E15" s="20">
        <f>'1 | Eingabe der Objektdaten'!F46</f>
        <v>1500</v>
      </c>
      <c r="F15" s="20">
        <f>'1 | Eingabe der Objektdaten'!E46*'1 | Eingabe der Objektdaten'!B46</f>
        <v>3360</v>
      </c>
      <c r="G15" s="20">
        <f>'1 | Eingabe der Objektdaten'!G46*'1 | Eingabe der Objektdaten'!C46</f>
        <v>4401.5999999999995</v>
      </c>
      <c r="H15" s="20">
        <f>IF('1 | Eingabe der Objektdaten'!$F$22-5&gt;0,'1 | Eingabe der Objektdaten'!$F$14*'1 | Eingabe der Objektdaten'!$F$13*'3 | Ermittlung des Ertragswerts'!$D$5,0)</f>
        <v>487.065</v>
      </c>
      <c r="I15" s="51">
        <f t="shared" si="1"/>
        <v>6835.8846960000028</v>
      </c>
      <c r="J15" s="52">
        <f t="shared" si="2"/>
        <v>6</v>
      </c>
      <c r="K15" s="53">
        <f>1/POWER((1+D5),J15)</f>
        <v>0.91454219251787205</v>
      </c>
      <c r="L15" s="51">
        <f t="shared" si="0"/>
        <v>6251.7049776792101</v>
      </c>
    </row>
    <row r="16" spans="1:12" ht="13.9" customHeight="1" x14ac:dyDescent="0.2">
      <c r="A16" s="44">
        <f>'1 | Eingabe der Objektdaten'!A47</f>
        <v>7</v>
      </c>
      <c r="B16" s="20">
        <f>'1 | Eingabe der Objektdaten'!C47*'1 | Eingabe der Objektdaten'!D47*12</f>
        <v>28446.912</v>
      </c>
      <c r="C16" s="20">
        <f>B16*'1 | Eingabe der Objektdaten'!H47</f>
        <v>11862.362304</v>
      </c>
      <c r="D16" s="17"/>
      <c r="E16" s="20">
        <f>'1 | Eingabe der Objektdaten'!F47</f>
        <v>1500</v>
      </c>
      <c r="F16" s="20">
        <f>'1 | Eingabe der Objektdaten'!E47*'1 | Eingabe der Objektdaten'!B47</f>
        <v>3360</v>
      </c>
      <c r="G16" s="20">
        <f>'1 | Eingabe der Objektdaten'!G47*'1 | Eingabe der Objektdaten'!C47</f>
        <v>4401.5999999999995</v>
      </c>
      <c r="H16" s="20">
        <f>IF('1 | Eingabe der Objektdaten'!$F$22-6&gt;0,'1 | Eingabe der Objektdaten'!$F$14*'1 | Eingabe der Objektdaten'!$F$13*'3 | Ermittlung des Ertragswerts'!$D$5,0)</f>
        <v>487.065</v>
      </c>
      <c r="I16" s="51">
        <f t="shared" si="1"/>
        <v>6835.8846960000028</v>
      </c>
      <c r="J16" s="52">
        <f t="shared" si="2"/>
        <v>7</v>
      </c>
      <c r="K16" s="53">
        <f>1/POWER((1+D5),J16)</f>
        <v>0.90102679065800217</v>
      </c>
      <c r="L16" s="51">
        <f t="shared" si="0"/>
        <v>6159.3152489450349</v>
      </c>
    </row>
    <row r="17" spans="1:12" ht="13.9" customHeight="1" x14ac:dyDescent="0.2">
      <c r="A17" s="44">
        <f>'1 | Eingabe der Objektdaten'!A48</f>
        <v>8</v>
      </c>
      <c r="B17" s="20">
        <f>'1 | Eingabe der Objektdaten'!C48*'1 | Eingabe der Objektdaten'!D48*12</f>
        <v>28446.912</v>
      </c>
      <c r="C17" s="20">
        <f>B17*'1 | Eingabe der Objektdaten'!H48</f>
        <v>11862.362304</v>
      </c>
      <c r="D17" s="17"/>
      <c r="E17" s="20">
        <f>'1 | Eingabe der Objektdaten'!F48</f>
        <v>1500</v>
      </c>
      <c r="F17" s="20">
        <f>'1 | Eingabe der Objektdaten'!E48*'1 | Eingabe der Objektdaten'!B48</f>
        <v>3360</v>
      </c>
      <c r="G17" s="20">
        <f>'1 | Eingabe der Objektdaten'!G48*'1 | Eingabe der Objektdaten'!C48</f>
        <v>4401.5999999999995</v>
      </c>
      <c r="H17" s="20">
        <f>IF('1 | Eingabe der Objektdaten'!$F$22-7&gt;0,'1 | Eingabe der Objektdaten'!$F$14*'1 | Eingabe der Objektdaten'!$F$13*'3 | Ermittlung des Ertragswerts'!$D$5,0)</f>
        <v>487.065</v>
      </c>
      <c r="I17" s="51">
        <f t="shared" si="1"/>
        <v>6835.8846960000028</v>
      </c>
      <c r="J17" s="52">
        <f t="shared" si="2"/>
        <v>8</v>
      </c>
      <c r="K17" s="53">
        <f>1/POWER((1+D5),J17)</f>
        <v>0.88771112380098749</v>
      </c>
      <c r="L17" s="51">
        <f t="shared" si="0"/>
        <v>6068.2908856601343</v>
      </c>
    </row>
    <row r="18" spans="1:12" ht="13.9" customHeight="1" x14ac:dyDescent="0.2">
      <c r="A18" s="44">
        <f>'1 | Eingabe der Objektdaten'!A49</f>
        <v>9</v>
      </c>
      <c r="B18" s="20">
        <f>'1 | Eingabe der Objektdaten'!C49*'1 | Eingabe der Objektdaten'!D49*12</f>
        <v>28446.912</v>
      </c>
      <c r="C18" s="20">
        <f>B18*'1 | Eingabe der Objektdaten'!H49</f>
        <v>11862.362304</v>
      </c>
      <c r="D18" s="17"/>
      <c r="E18" s="20">
        <f>'1 | Eingabe der Objektdaten'!F49</f>
        <v>1500</v>
      </c>
      <c r="F18" s="20">
        <f>'1 | Eingabe der Objektdaten'!E49*'1 | Eingabe der Objektdaten'!B49</f>
        <v>3360</v>
      </c>
      <c r="G18" s="20">
        <f>'1 | Eingabe der Objektdaten'!G49*'1 | Eingabe der Objektdaten'!C49</f>
        <v>4401.5999999999995</v>
      </c>
      <c r="H18" s="20">
        <f>IF('1 | Eingabe der Objektdaten'!$F$22-8&gt;0,'1 | Eingabe der Objektdaten'!$F$14*'1 | Eingabe der Objektdaten'!$F$13*'3 | Ermittlung des Ertragswerts'!$D$5,0)</f>
        <v>487.065</v>
      </c>
      <c r="I18" s="51">
        <f t="shared" si="1"/>
        <v>6835.8846960000028</v>
      </c>
      <c r="J18" s="52">
        <f t="shared" si="2"/>
        <v>9</v>
      </c>
      <c r="K18" s="53">
        <f>1/POWER((1+D5),J18)</f>
        <v>0.87459224019801729</v>
      </c>
      <c r="L18" s="51">
        <f t="shared" si="0"/>
        <v>5978.6117100099846</v>
      </c>
    </row>
    <row r="19" spans="1:12" ht="13.9" customHeight="1" x14ac:dyDescent="0.2">
      <c r="A19" s="44">
        <f>'1 | Eingabe der Objektdaten'!A50</f>
        <v>10</v>
      </c>
      <c r="B19" s="20">
        <f>'1 | Eingabe der Objektdaten'!C50*'1 | Eingabe der Objektdaten'!D50*12</f>
        <v>28446.912</v>
      </c>
      <c r="C19" s="20">
        <f>B19*'1 | Eingabe der Objektdaten'!H50</f>
        <v>11862.362304</v>
      </c>
      <c r="D19" s="17"/>
      <c r="E19" s="20">
        <f>'1 | Eingabe der Objektdaten'!F50</f>
        <v>1500</v>
      </c>
      <c r="F19" s="20">
        <f>'1 | Eingabe der Objektdaten'!E50*'1 | Eingabe der Objektdaten'!B50</f>
        <v>3360</v>
      </c>
      <c r="G19" s="20">
        <f>'1 | Eingabe der Objektdaten'!G50*'1 | Eingabe der Objektdaten'!C50</f>
        <v>4401.5999999999995</v>
      </c>
      <c r="H19" s="20">
        <f>IF('1 | Eingabe der Objektdaten'!$F$22-9&gt;0,'1 | Eingabe der Objektdaten'!$F$14*'1 | Eingabe der Objektdaten'!$F$13*'3 | Ermittlung des Ertragswerts'!$D$5,0)</f>
        <v>487.065</v>
      </c>
      <c r="I19" s="51">
        <f t="shared" si="1"/>
        <v>6835.8846960000028</v>
      </c>
      <c r="J19" s="52">
        <f t="shared" si="2"/>
        <v>10</v>
      </c>
      <c r="K19" s="53">
        <f>1/POWER((1+D5),J19)</f>
        <v>0.86166723172218462</v>
      </c>
      <c r="L19" s="51">
        <f t="shared" si="0"/>
        <v>5890.2578423743698</v>
      </c>
    </row>
    <row r="20" spans="1:12" ht="13.9" customHeight="1" x14ac:dyDescent="0.2">
      <c r="A20" s="44">
        <f>'1 | Eingabe der Objektdaten'!A51</f>
        <v>11</v>
      </c>
      <c r="B20" s="20">
        <f>'1 | Eingabe der Objektdaten'!C51*'1 | Eingabe der Objektdaten'!D51*12</f>
        <v>28446.912</v>
      </c>
      <c r="C20" s="20">
        <f>B20*'1 | Eingabe der Objektdaten'!H51</f>
        <v>11862.362304</v>
      </c>
      <c r="D20" s="17"/>
      <c r="E20" s="20">
        <f>'1 | Eingabe der Objektdaten'!F51</f>
        <v>1500</v>
      </c>
      <c r="F20" s="20">
        <f>'1 | Eingabe der Objektdaten'!E51*'1 | Eingabe der Objektdaten'!B51</f>
        <v>3360</v>
      </c>
      <c r="G20" s="20">
        <f>'1 | Eingabe der Objektdaten'!G51*'1 | Eingabe der Objektdaten'!C51</f>
        <v>4401.5999999999995</v>
      </c>
      <c r="H20" s="20">
        <f>IF('1 | Eingabe der Objektdaten'!$F$22-10&gt;0,'1 | Eingabe der Objektdaten'!$F$14*'1 | Eingabe der Objektdaten'!$F$13*'3 | Ermittlung des Ertragswerts'!$D$5,0)</f>
        <v>487.065</v>
      </c>
      <c r="I20" s="51">
        <f t="shared" si="1"/>
        <v>6835.8846960000028</v>
      </c>
      <c r="J20" s="52">
        <f t="shared" si="2"/>
        <v>11</v>
      </c>
      <c r="K20" s="53">
        <f>1/POWER((1+D5),J20)</f>
        <v>0.8489332332238273</v>
      </c>
      <c r="L20" s="51">
        <f t="shared" si="0"/>
        <v>5803.2096969205622</v>
      </c>
    </row>
    <row r="21" spans="1:12" ht="13.9" customHeight="1" x14ac:dyDescent="0.2">
      <c r="A21" s="44">
        <f>'1 | Eingabe der Objektdaten'!A52</f>
        <v>12</v>
      </c>
      <c r="B21" s="20">
        <f>'1 | Eingabe der Objektdaten'!C52*'1 | Eingabe der Objektdaten'!D52*12</f>
        <v>28446.912</v>
      </c>
      <c r="C21" s="20">
        <f>B21*'1 | Eingabe der Objektdaten'!H52</f>
        <v>11862.362304</v>
      </c>
      <c r="D21" s="17"/>
      <c r="E21" s="20">
        <f>'1 | Eingabe der Objektdaten'!F52</f>
        <v>1500</v>
      </c>
      <c r="F21" s="20">
        <f>'1 | Eingabe der Objektdaten'!E52*'1 | Eingabe der Objektdaten'!B52</f>
        <v>3360</v>
      </c>
      <c r="G21" s="20">
        <f>'1 | Eingabe der Objektdaten'!G52*'1 | Eingabe der Objektdaten'!C52</f>
        <v>4401.5999999999995</v>
      </c>
      <c r="H21" s="20">
        <f>IF('1 | Eingabe der Objektdaten'!$F$22-11&gt;0,'1 | Eingabe der Objektdaten'!$F$14*'1 | Eingabe der Objektdaten'!$F$13*'3 | Ermittlung des Ertragswerts'!$D$5,0)</f>
        <v>487.065</v>
      </c>
      <c r="I21" s="51">
        <f t="shared" si="1"/>
        <v>6835.8846960000028</v>
      </c>
      <c r="J21" s="52">
        <f t="shared" si="2"/>
        <v>12</v>
      </c>
      <c r="K21" s="53">
        <f>1/POWER((1+D5),J21)</f>
        <v>0.83638742189539661</v>
      </c>
      <c r="L21" s="51">
        <f t="shared" si="0"/>
        <v>5717.4479772616396</v>
      </c>
    </row>
    <row r="22" spans="1:12" ht="13.9" customHeight="1" x14ac:dyDescent="0.2">
      <c r="A22" s="44">
        <f>'1 | Eingabe der Objektdaten'!A53</f>
        <v>13</v>
      </c>
      <c r="B22" s="20">
        <f>'1 | Eingabe der Objektdaten'!C53*'1 | Eingabe der Objektdaten'!D53*12</f>
        <v>28446.912</v>
      </c>
      <c r="C22" s="20">
        <f>B22*'1 | Eingabe der Objektdaten'!H53</f>
        <v>11862.362304</v>
      </c>
      <c r="D22" s="17"/>
      <c r="E22" s="20">
        <f>'1 | Eingabe der Objektdaten'!F53</f>
        <v>1500</v>
      </c>
      <c r="F22" s="20">
        <f>'1 | Eingabe der Objektdaten'!E53*'1 | Eingabe der Objektdaten'!B53</f>
        <v>3360</v>
      </c>
      <c r="G22" s="20">
        <f>'1 | Eingabe der Objektdaten'!G53*'1 | Eingabe der Objektdaten'!C53</f>
        <v>4401.5999999999995</v>
      </c>
      <c r="H22" s="20">
        <f>IF('1 | Eingabe der Objektdaten'!$F$22-12&gt;0,'1 | Eingabe der Objektdaten'!$F$14*'1 | Eingabe der Objektdaten'!$F$13*'3 | Ermittlung des Ertragswerts'!$D$5,0)</f>
        <v>487.065</v>
      </c>
      <c r="I22" s="51">
        <f t="shared" si="1"/>
        <v>6835.8846960000028</v>
      </c>
      <c r="J22" s="52">
        <f t="shared" si="2"/>
        <v>13</v>
      </c>
      <c r="K22" s="53">
        <f>1/POWER((1+D5),J22)</f>
        <v>0.82402701664571099</v>
      </c>
      <c r="L22" s="51">
        <f t="shared" si="0"/>
        <v>5632.9536721789555</v>
      </c>
    </row>
    <row r="23" spans="1:12" ht="13.9" customHeight="1" x14ac:dyDescent="0.2">
      <c r="A23" s="44">
        <f>'1 | Eingabe der Objektdaten'!A54</f>
        <v>14</v>
      </c>
      <c r="B23" s="20">
        <f>'1 | Eingabe der Objektdaten'!C54*'1 | Eingabe der Objektdaten'!D54*12</f>
        <v>28446.912</v>
      </c>
      <c r="C23" s="20">
        <f>B23*'1 | Eingabe der Objektdaten'!H54</f>
        <v>11862.362304</v>
      </c>
      <c r="D23" s="17"/>
      <c r="E23" s="20">
        <f>'1 | Eingabe der Objektdaten'!F54</f>
        <v>1500</v>
      </c>
      <c r="F23" s="20">
        <f>'1 | Eingabe der Objektdaten'!E54*'1 | Eingabe der Objektdaten'!B54</f>
        <v>3360</v>
      </c>
      <c r="G23" s="20">
        <f>'1 | Eingabe der Objektdaten'!G54*'1 | Eingabe der Objektdaten'!C54</f>
        <v>4401.5999999999995</v>
      </c>
      <c r="H23" s="20">
        <f>IF('1 | Eingabe der Objektdaten'!$F$22-13&gt;0,'1 | Eingabe der Objektdaten'!$F$14*'1 | Eingabe der Objektdaten'!$F$13*'3 | Ermittlung des Ertragswerts'!$D$5,0)</f>
        <v>487.065</v>
      </c>
      <c r="I23" s="51">
        <f t="shared" si="1"/>
        <v>6835.8846960000028</v>
      </c>
      <c r="J23" s="52">
        <f t="shared" si="2"/>
        <v>14</v>
      </c>
      <c r="K23" s="53">
        <f>1/POWER((1+D5),J23)</f>
        <v>0.81184927748345925</v>
      </c>
      <c r="L23" s="51">
        <f t="shared" si="0"/>
        <v>5549.7080514078389</v>
      </c>
    </row>
    <row r="24" spans="1:12" ht="13.9" customHeight="1" x14ac:dyDescent="0.2">
      <c r="A24" s="44">
        <f>'1 | Eingabe der Objektdaten'!A55</f>
        <v>15</v>
      </c>
      <c r="B24" s="20">
        <f>'1 | Eingabe der Objektdaten'!C55*'1 | Eingabe der Objektdaten'!D55*12</f>
        <v>28446.912</v>
      </c>
      <c r="C24" s="20">
        <f>B24*'1 | Eingabe der Objektdaten'!H55</f>
        <v>11862.362304</v>
      </c>
      <c r="D24" s="17"/>
      <c r="E24" s="20">
        <f>'1 | Eingabe der Objektdaten'!F55</f>
        <v>1500</v>
      </c>
      <c r="F24" s="20">
        <f>'1 | Eingabe der Objektdaten'!E55*'1 | Eingabe der Objektdaten'!B55</f>
        <v>3360</v>
      </c>
      <c r="G24" s="20">
        <f>'1 | Eingabe der Objektdaten'!G55*'1 | Eingabe der Objektdaten'!C55</f>
        <v>4401.5999999999995</v>
      </c>
      <c r="H24" s="20">
        <f>IF('1 | Eingabe der Objektdaten'!$F$22-14&gt;0,'1 | Eingabe der Objektdaten'!$F$14*'1 | Eingabe der Objektdaten'!$F$13*'3 | Ermittlung des Ertragswerts'!$D$5,0)</f>
        <v>487.065</v>
      </c>
      <c r="I24" s="51">
        <f t="shared" si="1"/>
        <v>6835.8846960000028</v>
      </c>
      <c r="J24" s="52">
        <f t="shared" si="2"/>
        <v>15</v>
      </c>
      <c r="K24" s="53">
        <f>1/POWER((1+D5),J24)</f>
        <v>0.79985150490981216</v>
      </c>
      <c r="L24" s="51">
        <f t="shared" si="0"/>
        <v>5467.6926614855556</v>
      </c>
    </row>
    <row r="25" spans="1:12" ht="13.9" customHeight="1" x14ac:dyDescent="0.2">
      <c r="A25" s="44">
        <f>'1 | Eingabe der Objektdaten'!A56</f>
        <v>16</v>
      </c>
      <c r="B25" s="20">
        <f>'1 | Eingabe der Objektdaten'!C56*'1 | Eingabe der Objektdaten'!D56*12</f>
        <v>28446.912</v>
      </c>
      <c r="C25" s="20">
        <f>B25*'1 | Eingabe der Objektdaten'!H56</f>
        <v>11862.362304</v>
      </c>
      <c r="D25" s="17"/>
      <c r="E25" s="20">
        <f>'1 | Eingabe der Objektdaten'!F56</f>
        <v>1500</v>
      </c>
      <c r="F25" s="20">
        <f>'1 | Eingabe der Objektdaten'!E56*'1 | Eingabe der Objektdaten'!B56</f>
        <v>3360</v>
      </c>
      <c r="G25" s="20">
        <f>'1 | Eingabe der Objektdaten'!G56*'1 | Eingabe der Objektdaten'!C56</f>
        <v>4401.5999999999995</v>
      </c>
      <c r="H25" s="20">
        <f>IF('1 | Eingabe der Objektdaten'!$F$22-15&gt;0,'1 | Eingabe der Objektdaten'!$F$14*'1 | Eingabe der Objektdaten'!$F$13*'3 | Ermittlung des Ertragswerts'!$D$5,0)</f>
        <v>487.065</v>
      </c>
      <c r="I25" s="51">
        <f t="shared" si="1"/>
        <v>6835.8846960000028</v>
      </c>
      <c r="J25" s="52">
        <f t="shared" si="2"/>
        <v>16</v>
      </c>
      <c r="K25" s="53">
        <f>1/POWER((1+D5),J25)</f>
        <v>0.78803103932001206</v>
      </c>
      <c r="L25" s="51">
        <f t="shared" si="0"/>
        <v>5386.8893216606466</v>
      </c>
    </row>
    <row r="26" spans="1:12" ht="13.9" customHeight="1" x14ac:dyDescent="0.2">
      <c r="A26" s="44">
        <f>'1 | Eingabe der Objektdaten'!A57</f>
        <v>17</v>
      </c>
      <c r="B26" s="20">
        <f>'1 | Eingabe der Objektdaten'!C57*'1 | Eingabe der Objektdaten'!D57*12</f>
        <v>28446.912</v>
      </c>
      <c r="C26" s="20">
        <f>B26*'1 | Eingabe der Objektdaten'!H57</f>
        <v>11862.362304</v>
      </c>
      <c r="D26" s="17"/>
      <c r="E26" s="20">
        <f>'1 | Eingabe der Objektdaten'!F57</f>
        <v>1500</v>
      </c>
      <c r="F26" s="20">
        <f>'1 | Eingabe der Objektdaten'!E57*'1 | Eingabe der Objektdaten'!B57</f>
        <v>3360</v>
      </c>
      <c r="G26" s="20">
        <f>'1 | Eingabe der Objektdaten'!G57*'1 | Eingabe der Objektdaten'!C57</f>
        <v>4401.5999999999995</v>
      </c>
      <c r="H26" s="20">
        <f>IF('1 | Eingabe der Objektdaten'!$F$22-16&gt;0,'1 | Eingabe der Objektdaten'!$F$14*'1 | Eingabe der Objektdaten'!$F$13*'3 | Ermittlung des Ertragswerts'!$D$5,0)</f>
        <v>487.065</v>
      </c>
      <c r="I26" s="51">
        <f t="shared" si="1"/>
        <v>6835.8846960000028</v>
      </c>
      <c r="J26" s="52">
        <f t="shared" si="2"/>
        <v>17</v>
      </c>
      <c r="K26" s="53">
        <f>1/POWER((1+D5),J26)</f>
        <v>0.77638526041380518</v>
      </c>
      <c r="L26" s="51">
        <f t="shared" si="0"/>
        <v>5307.2801198627076</v>
      </c>
    </row>
    <row r="27" spans="1:12" ht="13.9" customHeight="1" x14ac:dyDescent="0.2">
      <c r="A27" s="44">
        <f>'1 | Eingabe der Objektdaten'!A58</f>
        <v>18</v>
      </c>
      <c r="B27" s="20">
        <f>'1 | Eingabe der Objektdaten'!C58*'1 | Eingabe der Objektdaten'!D58*12</f>
        <v>28446.912</v>
      </c>
      <c r="C27" s="20">
        <f>B27*'1 | Eingabe der Objektdaten'!H58</f>
        <v>11862.362304</v>
      </c>
      <c r="D27" s="17"/>
      <c r="E27" s="20">
        <f>'1 | Eingabe der Objektdaten'!F58</f>
        <v>1500</v>
      </c>
      <c r="F27" s="20">
        <f>'1 | Eingabe der Objektdaten'!E58*'1 | Eingabe der Objektdaten'!B58</f>
        <v>3360</v>
      </c>
      <c r="G27" s="20">
        <f>'1 | Eingabe der Objektdaten'!G58*'1 | Eingabe der Objektdaten'!C58</f>
        <v>4401.5999999999995</v>
      </c>
      <c r="H27" s="20">
        <f>IF('1 | Eingabe der Objektdaten'!$F$22-17&gt;0,'1 | Eingabe der Objektdaten'!$F$14*'1 | Eingabe der Objektdaten'!$F$13*'3 | Ermittlung des Ertragswerts'!$D$5,0)</f>
        <v>487.065</v>
      </c>
      <c r="I27" s="51">
        <f t="shared" si="1"/>
        <v>6835.8846960000028</v>
      </c>
      <c r="J27" s="52">
        <f t="shared" si="2"/>
        <v>18</v>
      </c>
      <c r="K27" s="53">
        <f>1/POWER((1+D5),J27)</f>
        <v>0.76491158661458636</v>
      </c>
      <c r="L27" s="51">
        <f t="shared" si="0"/>
        <v>5228.8474087317318</v>
      </c>
    </row>
    <row r="28" spans="1:12" ht="13.9" customHeight="1" x14ac:dyDescent="0.2">
      <c r="A28" s="44">
        <f>'1 | Eingabe der Objektdaten'!A59</f>
        <v>19</v>
      </c>
      <c r="B28" s="20">
        <f>'1 | Eingabe der Objektdaten'!C59*'1 | Eingabe der Objektdaten'!D59*12</f>
        <v>28446.912</v>
      </c>
      <c r="C28" s="20">
        <f>B28*'1 | Eingabe der Objektdaten'!H59</f>
        <v>11862.362304</v>
      </c>
      <c r="D28" s="17"/>
      <c r="E28" s="20">
        <f>'1 | Eingabe der Objektdaten'!F59</f>
        <v>1500</v>
      </c>
      <c r="F28" s="20">
        <f>'1 | Eingabe der Objektdaten'!E59*'1 | Eingabe der Objektdaten'!B59</f>
        <v>3360</v>
      </c>
      <c r="G28" s="20">
        <f>'1 | Eingabe der Objektdaten'!G59*'1 | Eingabe der Objektdaten'!C59</f>
        <v>4401.5999999999995</v>
      </c>
      <c r="H28" s="20">
        <f>IF('1 | Eingabe der Objektdaten'!$F$22-18&gt;0,'1 | Eingabe der Objektdaten'!$F$14*'1 | Eingabe der Objektdaten'!$F$13*'3 | Ermittlung des Ertragswerts'!$D$5,0)</f>
        <v>487.065</v>
      </c>
      <c r="I28" s="51">
        <f t="shared" si="1"/>
        <v>6835.8846960000028</v>
      </c>
      <c r="J28" s="52">
        <f t="shared" si="2"/>
        <v>19</v>
      </c>
      <c r="K28" s="53">
        <f>1/POWER((1+D5),J28)</f>
        <v>0.7536074744971295</v>
      </c>
      <c r="L28" s="51">
        <f t="shared" si="0"/>
        <v>5151.5738017061403</v>
      </c>
    </row>
    <row r="29" spans="1:12" ht="13.9" customHeight="1" x14ac:dyDescent="0.2">
      <c r="A29" s="44">
        <f>'1 | Eingabe der Objektdaten'!A60</f>
        <v>20</v>
      </c>
      <c r="B29" s="20">
        <f>'1 | Eingabe der Objektdaten'!C60*'1 | Eingabe der Objektdaten'!D60*12</f>
        <v>28446.912</v>
      </c>
      <c r="C29" s="20">
        <f>B29*'1 | Eingabe der Objektdaten'!H60</f>
        <v>11862.362304</v>
      </c>
      <c r="D29" s="17"/>
      <c r="E29" s="20">
        <f>'1 | Eingabe der Objektdaten'!F60</f>
        <v>1500</v>
      </c>
      <c r="F29" s="20">
        <f>'1 | Eingabe der Objektdaten'!E60*'1 | Eingabe der Objektdaten'!B60</f>
        <v>3360</v>
      </c>
      <c r="G29" s="20">
        <f>'1 | Eingabe der Objektdaten'!G60*'1 | Eingabe der Objektdaten'!C60</f>
        <v>4401.5999999999995</v>
      </c>
      <c r="H29" s="20">
        <f>IF('1 | Eingabe der Objektdaten'!$F$22-19&gt;0,'1 | Eingabe der Objektdaten'!$F$14*'1 | Eingabe der Objektdaten'!$F$13*'3 | Ermittlung des Ertragswerts'!$D$5,0)</f>
        <v>487.065</v>
      </c>
      <c r="I29" s="51">
        <f t="shared" si="1"/>
        <v>6835.8846960000028</v>
      </c>
      <c r="J29" s="52">
        <f t="shared" si="2"/>
        <v>20</v>
      </c>
      <c r="K29" s="53">
        <f>1/POWER((1+D5),J29)</f>
        <v>0.74247041822377313</v>
      </c>
      <c r="L29" s="51">
        <f t="shared" si="0"/>
        <v>5075.4421691686121</v>
      </c>
    </row>
    <row r="30" spans="1:12" ht="13.9" customHeight="1" x14ac:dyDescent="0.2">
      <c r="A30" s="44">
        <f>'1 | Eingabe der Objektdaten'!A61</f>
        <v>21</v>
      </c>
      <c r="B30" s="20">
        <f>'1 | Eingabe der Objektdaten'!C61*'1 | Eingabe der Objektdaten'!D61*12</f>
        <v>28446.912</v>
      </c>
      <c r="C30" s="20">
        <f>B30*'1 | Eingabe der Objektdaten'!H61</f>
        <v>11862.362304</v>
      </c>
      <c r="D30" s="17"/>
      <c r="E30" s="20">
        <f>'1 | Eingabe der Objektdaten'!F61</f>
        <v>1500</v>
      </c>
      <c r="F30" s="20">
        <f>'1 | Eingabe der Objektdaten'!E61*'1 | Eingabe der Objektdaten'!B61</f>
        <v>3360</v>
      </c>
      <c r="G30" s="20">
        <f>'1 | Eingabe der Objektdaten'!G61*'1 | Eingabe der Objektdaten'!C61</f>
        <v>4401.5999999999995</v>
      </c>
      <c r="H30" s="20">
        <f>IF('1 | Eingabe der Objektdaten'!$F$22-20&gt;0,'1 | Eingabe der Objektdaten'!$F$14*'1 | Eingabe der Objektdaten'!$F$13*'3 | Ermittlung des Ertragswerts'!$D$5,0)</f>
        <v>487.065</v>
      </c>
      <c r="I30" s="51">
        <f t="shared" si="1"/>
        <v>6835.8846960000028</v>
      </c>
      <c r="J30" s="52">
        <f t="shared" si="2"/>
        <v>21</v>
      </c>
      <c r="K30" s="53">
        <f>1/POWER((1+D5),J30)</f>
        <v>0.73149794898893916</v>
      </c>
      <c r="L30" s="51">
        <f t="shared" si="0"/>
        <v>5000.4356346488803</v>
      </c>
    </row>
    <row r="31" spans="1:12" ht="13.9" customHeight="1" x14ac:dyDescent="0.2">
      <c r="A31" s="44">
        <f>'1 | Eingabe der Objektdaten'!A62</f>
        <v>22</v>
      </c>
      <c r="B31" s="20">
        <f>'1 | Eingabe der Objektdaten'!C62*'1 | Eingabe der Objektdaten'!D62*12</f>
        <v>28446.912</v>
      </c>
      <c r="C31" s="20">
        <f>B31*'1 | Eingabe der Objektdaten'!H62</f>
        <v>11862.362304</v>
      </c>
      <c r="D31" s="17"/>
      <c r="E31" s="20">
        <f>'1 | Eingabe der Objektdaten'!F62</f>
        <v>1500</v>
      </c>
      <c r="F31" s="20">
        <f>'1 | Eingabe der Objektdaten'!E62*'1 | Eingabe der Objektdaten'!B62</f>
        <v>3360</v>
      </c>
      <c r="G31" s="20">
        <f>'1 | Eingabe der Objektdaten'!G62*'1 | Eingabe der Objektdaten'!C62</f>
        <v>4401.5999999999995</v>
      </c>
      <c r="H31" s="20">
        <f>IF('1 | Eingabe der Objektdaten'!$F$22-21&gt;0,'1 | Eingabe der Objektdaten'!$F$14*'1 | Eingabe der Objektdaten'!$F$13*'3 | Ermittlung des Ertragswerts'!$D$5,0)</f>
        <v>487.065</v>
      </c>
      <c r="I31" s="51">
        <f t="shared" si="1"/>
        <v>6835.8846960000028</v>
      </c>
      <c r="J31" s="52">
        <f t="shared" si="2"/>
        <v>22</v>
      </c>
      <c r="K31" s="53">
        <f>1/POWER((1+D5),J31)</f>
        <v>0.72068763447186135</v>
      </c>
      <c r="L31" s="51">
        <f t="shared" si="0"/>
        <v>4926.5375710826411</v>
      </c>
    </row>
    <row r="32" spans="1:12" ht="13.9" customHeight="1" x14ac:dyDescent="0.2">
      <c r="A32" s="44">
        <f>'1 | Eingabe der Objektdaten'!A63</f>
        <v>23</v>
      </c>
      <c r="B32" s="20">
        <f>'1 | Eingabe der Objektdaten'!C63*'1 | Eingabe der Objektdaten'!D63*12</f>
        <v>28446.912</v>
      </c>
      <c r="C32" s="20">
        <f>B32*'1 | Eingabe der Objektdaten'!H63</f>
        <v>11862.362304</v>
      </c>
      <c r="D32" s="17"/>
      <c r="E32" s="20">
        <f>'1 | Eingabe der Objektdaten'!F63</f>
        <v>1500</v>
      </c>
      <c r="F32" s="20">
        <f>'1 | Eingabe der Objektdaten'!E63*'1 | Eingabe der Objektdaten'!B63</f>
        <v>3360</v>
      </c>
      <c r="G32" s="20">
        <f>'1 | Eingabe der Objektdaten'!G63*'1 | Eingabe der Objektdaten'!C63</f>
        <v>4401.5999999999995</v>
      </c>
      <c r="H32" s="20">
        <f>IF('1 | Eingabe der Objektdaten'!$F$22-22&gt;0,'1 | Eingabe der Objektdaten'!$F$14*'1 | Eingabe der Objektdaten'!$F$13*'3 | Ermittlung des Ertragswerts'!$D$5,0)</f>
        <v>487.065</v>
      </c>
      <c r="I32" s="51">
        <f t="shared" si="1"/>
        <v>6835.8846960000028</v>
      </c>
      <c r="J32" s="52">
        <f t="shared" si="2"/>
        <v>23</v>
      </c>
      <c r="K32" s="53">
        <f>1/POWER((1+D5),J32)</f>
        <v>0.71003707829740037</v>
      </c>
      <c r="L32" s="51">
        <f t="shared" si="0"/>
        <v>4853.7315971257549</v>
      </c>
    </row>
    <row r="33" spans="1:12" ht="13.9" customHeight="1" x14ac:dyDescent="0.2">
      <c r="A33" s="44">
        <f>'1 | Eingabe der Objektdaten'!A64</f>
        <v>24</v>
      </c>
      <c r="B33" s="20">
        <f>'1 | Eingabe der Objektdaten'!C64*'1 | Eingabe der Objektdaten'!D64*12</f>
        <v>28446.912</v>
      </c>
      <c r="C33" s="20">
        <f>B33*'1 | Eingabe der Objektdaten'!H64</f>
        <v>11862.362304</v>
      </c>
      <c r="D33" s="17"/>
      <c r="E33" s="20">
        <f>'1 | Eingabe der Objektdaten'!F64</f>
        <v>1500</v>
      </c>
      <c r="F33" s="20">
        <f>'1 | Eingabe der Objektdaten'!E64*'1 | Eingabe der Objektdaten'!B64</f>
        <v>3360</v>
      </c>
      <c r="G33" s="20">
        <f>'1 | Eingabe der Objektdaten'!G64*'1 | Eingabe der Objektdaten'!C64</f>
        <v>4401.5999999999995</v>
      </c>
      <c r="H33" s="20">
        <f>IF('1 | Eingabe der Objektdaten'!$F$22-23&gt;0,'1 | Eingabe der Objektdaten'!$F$14*'1 | Eingabe der Objektdaten'!$F$13*'3 | Ermittlung des Ertragswerts'!$D$5,0)</f>
        <v>487.065</v>
      </c>
      <c r="I33" s="51">
        <f t="shared" si="1"/>
        <v>6835.8846960000028</v>
      </c>
      <c r="J33" s="52">
        <f t="shared" si="2"/>
        <v>24</v>
      </c>
      <c r="K33" s="53">
        <f>1/POWER((1+D5),J33)</f>
        <v>0.69954391950482808</v>
      </c>
      <c r="L33" s="51">
        <f t="shared" si="0"/>
        <v>4782.0015735229117</v>
      </c>
    </row>
    <row r="34" spans="1:12" ht="13.9" customHeight="1" x14ac:dyDescent="0.2">
      <c r="A34" s="44">
        <f>'1 | Eingabe der Objektdaten'!A65</f>
        <v>25</v>
      </c>
      <c r="B34" s="20">
        <f>'1 | Eingabe der Objektdaten'!C65*'1 | Eingabe der Objektdaten'!D65*12</f>
        <v>28446.912</v>
      </c>
      <c r="C34" s="20">
        <f>B34*'1 | Eingabe der Objektdaten'!H65</f>
        <v>11862.362304</v>
      </c>
      <c r="D34" s="17"/>
      <c r="E34" s="20">
        <f>'1 | Eingabe der Objektdaten'!F65</f>
        <v>1500</v>
      </c>
      <c r="F34" s="20">
        <f>'1 | Eingabe der Objektdaten'!E65*'1 | Eingabe der Objektdaten'!B65</f>
        <v>3360</v>
      </c>
      <c r="G34" s="20">
        <f>'1 | Eingabe der Objektdaten'!G65*'1 | Eingabe der Objektdaten'!C65</f>
        <v>4401.5999999999995</v>
      </c>
      <c r="H34" s="20">
        <f>IF('1 | Eingabe der Objektdaten'!$F$22-24&gt;0,'1 | Eingabe der Objektdaten'!$F$14*'1 | Eingabe der Objektdaten'!$F$13*'3 | Ermittlung des Ertragswerts'!$D$5,0)</f>
        <v>487.065</v>
      </c>
      <c r="I34" s="51">
        <f t="shared" si="1"/>
        <v>6835.8846960000028</v>
      </c>
      <c r="J34" s="52">
        <f t="shared" si="2"/>
        <v>25</v>
      </c>
      <c r="K34" s="53">
        <f>1/POWER((1+D5),J34)</f>
        <v>0.68920583202446117</v>
      </c>
      <c r="L34" s="51">
        <f t="shared" si="0"/>
        <v>4711.3315995299627</v>
      </c>
    </row>
    <row r="35" spans="1:12" ht="13.9" customHeight="1" x14ac:dyDescent="0.2">
      <c r="A35" s="44">
        <f>'1 | Eingabe der Objektdaten'!A66</f>
        <v>26</v>
      </c>
      <c r="B35" s="20">
        <f>'1 | Eingabe der Objektdaten'!C66*'1 | Eingabe der Objektdaten'!D66*12</f>
        <v>28446.912</v>
      </c>
      <c r="C35" s="20">
        <f>B35*'1 | Eingabe der Objektdaten'!H66</f>
        <v>11862.362304</v>
      </c>
      <c r="D35" s="17"/>
      <c r="E35" s="20">
        <f>'1 | Eingabe der Objektdaten'!F66</f>
        <v>1500</v>
      </c>
      <c r="F35" s="20">
        <f>'1 | Eingabe der Objektdaten'!E66*'1 | Eingabe der Objektdaten'!B66</f>
        <v>3360</v>
      </c>
      <c r="G35" s="20">
        <f>'1 | Eingabe der Objektdaten'!G66*'1 | Eingabe der Objektdaten'!C66</f>
        <v>4401.5999999999995</v>
      </c>
      <c r="H35" s="20">
        <f>IF('1 | Eingabe der Objektdaten'!$F$22-25&gt;0,'1 | Eingabe der Objektdaten'!$F$14*'1 | Eingabe der Objektdaten'!$F$13*'3 | Ermittlung des Ertragswerts'!$D$5,0)</f>
        <v>487.065</v>
      </c>
      <c r="I35" s="51">
        <f t="shared" si="1"/>
        <v>6835.8846960000028</v>
      </c>
      <c r="J35" s="52">
        <f t="shared" si="2"/>
        <v>26</v>
      </c>
      <c r="K35" s="53">
        <f>1/POWER((1+D5),J35)</f>
        <v>0.67902052416203085</v>
      </c>
      <c r="L35" s="51">
        <f t="shared" si="0"/>
        <v>4641.7060093891268</v>
      </c>
    </row>
    <row r="36" spans="1:12" ht="13.9" customHeight="1" x14ac:dyDescent="0.2">
      <c r="A36" s="44">
        <f>'1 | Eingabe der Objektdaten'!A67</f>
        <v>27</v>
      </c>
      <c r="B36" s="20">
        <f>'1 | Eingabe der Objektdaten'!C67*'1 | Eingabe der Objektdaten'!D67*12</f>
        <v>28446.912</v>
      </c>
      <c r="C36" s="20">
        <f>B36*'1 | Eingabe der Objektdaten'!H67</f>
        <v>11862.362304</v>
      </c>
      <c r="D36" s="17"/>
      <c r="E36" s="20">
        <f>'1 | Eingabe der Objektdaten'!F67</f>
        <v>1500</v>
      </c>
      <c r="F36" s="20">
        <f>'1 | Eingabe der Objektdaten'!E67*'1 | Eingabe der Objektdaten'!B67</f>
        <v>3360</v>
      </c>
      <c r="G36" s="20">
        <f>'1 | Eingabe der Objektdaten'!G67*'1 | Eingabe der Objektdaten'!C67</f>
        <v>4401.5999999999995</v>
      </c>
      <c r="H36" s="20">
        <f>IF('1 | Eingabe der Objektdaten'!$F$22-26&gt;0,'1 | Eingabe der Objektdaten'!$F$14*'1 | Eingabe der Objektdaten'!$F$13*'3 | Ermittlung des Ertragswerts'!$D$5,0)</f>
        <v>487.065</v>
      </c>
      <c r="I36" s="51">
        <f t="shared" si="1"/>
        <v>6835.8846960000028</v>
      </c>
      <c r="J36" s="52">
        <f t="shared" si="2"/>
        <v>27</v>
      </c>
      <c r="K36" s="53">
        <f>1/POWER((1+D5),J36)</f>
        <v>0.66898573809067086</v>
      </c>
      <c r="L36" s="51">
        <f t="shared" si="0"/>
        <v>4573.1093688562833</v>
      </c>
    </row>
    <row r="37" spans="1:12" ht="13.9" customHeight="1" x14ac:dyDescent="0.2">
      <c r="A37" s="44">
        <f>'1 | Eingabe der Objektdaten'!A68</f>
        <v>28</v>
      </c>
      <c r="B37" s="20">
        <f>'1 | Eingabe der Objektdaten'!C68*'1 | Eingabe der Objektdaten'!D68*12</f>
        <v>28446.912</v>
      </c>
      <c r="C37" s="20">
        <f>B37*'1 | Eingabe der Objektdaten'!H68</f>
        <v>11862.362304</v>
      </c>
      <c r="D37" s="17"/>
      <c r="E37" s="20">
        <f>'1 | Eingabe der Objektdaten'!F68</f>
        <v>1500</v>
      </c>
      <c r="F37" s="20">
        <f>'1 | Eingabe der Objektdaten'!E68*'1 | Eingabe der Objektdaten'!B68</f>
        <v>3360</v>
      </c>
      <c r="G37" s="20">
        <f>'1 | Eingabe der Objektdaten'!G68*'1 | Eingabe der Objektdaten'!C68</f>
        <v>4401.5999999999995</v>
      </c>
      <c r="H37" s="20">
        <f>IF('1 | Eingabe der Objektdaten'!$F$22-27&gt;0,'1 | Eingabe der Objektdaten'!$F$14*'1 | Eingabe der Objektdaten'!$F$13*'3 | Ermittlung des Ertragswerts'!$D$5,0)</f>
        <v>487.065</v>
      </c>
      <c r="I37" s="51">
        <f t="shared" si="1"/>
        <v>6835.8846960000028</v>
      </c>
      <c r="J37" s="52">
        <f t="shared" si="2"/>
        <v>28</v>
      </c>
      <c r="K37" s="53">
        <f>1/POWER((1+D5),J37)</f>
        <v>0.65909924935041486</v>
      </c>
      <c r="L37" s="51">
        <f t="shared" si="0"/>
        <v>4505.5264717795908</v>
      </c>
    </row>
    <row r="38" spans="1:12" ht="13.9" customHeight="1" x14ac:dyDescent="0.2">
      <c r="A38" s="44">
        <f>'1 | Eingabe der Objektdaten'!A69</f>
        <v>29</v>
      </c>
      <c r="B38" s="20">
        <f>'1 | Eingabe der Objektdaten'!C69*'1 | Eingabe der Objektdaten'!D69*12</f>
        <v>28446.912</v>
      </c>
      <c r="C38" s="20">
        <f>B38*'1 | Eingabe der Objektdaten'!H69</f>
        <v>11862.362304</v>
      </c>
      <c r="D38" s="17"/>
      <c r="E38" s="20">
        <f>'1 | Eingabe der Objektdaten'!F69</f>
        <v>1500</v>
      </c>
      <c r="F38" s="20">
        <f>'1 | Eingabe der Objektdaten'!E69*'1 | Eingabe der Objektdaten'!B69</f>
        <v>3360</v>
      </c>
      <c r="G38" s="20">
        <f>'1 | Eingabe der Objektdaten'!G69*'1 | Eingabe der Objektdaten'!C69</f>
        <v>4401.5999999999995</v>
      </c>
      <c r="H38" s="20">
        <f>IF('1 | Eingabe der Objektdaten'!$F$22-28&gt;0,'1 | Eingabe der Objektdaten'!$F$14*'1 | Eingabe der Objektdaten'!$F$13*'3 | Ermittlung des Ertragswerts'!$D$5,0)</f>
        <v>487.065</v>
      </c>
      <c r="I38" s="51">
        <f t="shared" si="1"/>
        <v>6835.8846960000028</v>
      </c>
      <c r="J38" s="52">
        <f t="shared" si="2"/>
        <v>29</v>
      </c>
      <c r="K38" s="53">
        <f>1/POWER((1+D5),J38)</f>
        <v>0.64935886635508844</v>
      </c>
      <c r="L38" s="51">
        <f t="shared" si="0"/>
        <v>4438.9423367286599</v>
      </c>
    </row>
    <row r="39" spans="1:12" ht="13.9" customHeight="1" x14ac:dyDescent="0.2">
      <c r="A39" s="44">
        <f>'1 | Eingabe der Objektdaten'!A70</f>
        <v>30</v>
      </c>
      <c r="B39" s="20">
        <f>'1 | Eingabe der Objektdaten'!C70*'1 | Eingabe der Objektdaten'!D70*12</f>
        <v>28446.912</v>
      </c>
      <c r="C39" s="20">
        <f>B39*'1 | Eingabe der Objektdaten'!H70</f>
        <v>11862.362304</v>
      </c>
      <c r="D39" s="17"/>
      <c r="E39" s="20">
        <f>'1 | Eingabe der Objektdaten'!F70</f>
        <v>1500</v>
      </c>
      <c r="F39" s="20">
        <f>'1 | Eingabe der Objektdaten'!E70*'1 | Eingabe der Objektdaten'!B70</f>
        <v>3360</v>
      </c>
      <c r="G39" s="20">
        <f>'1 | Eingabe der Objektdaten'!G70*'1 | Eingabe der Objektdaten'!C70</f>
        <v>4401.5999999999995</v>
      </c>
      <c r="H39" s="20">
        <f>IF('1 | Eingabe der Objektdaten'!$F$22-29&gt;0,'1 | Eingabe der Objektdaten'!$F$14*'1 | Eingabe der Objektdaten'!$F$13*'3 | Ermittlung des Ertragswerts'!$D$5,0)</f>
        <v>487.065</v>
      </c>
      <c r="I39" s="51">
        <f t="shared" si="1"/>
        <v>6835.8846960000028</v>
      </c>
      <c r="J39" s="52">
        <f t="shared" si="2"/>
        <v>30</v>
      </c>
      <c r="K39" s="53">
        <f>1/POWER((1+D5),J39)</f>
        <v>0.63976242990649135</v>
      </c>
      <c r="L39" s="51">
        <f t="shared" si="0"/>
        <v>4373.3422036735583</v>
      </c>
    </row>
    <row r="40" spans="1:12" ht="13.9" customHeight="1" x14ac:dyDescent="0.2">
      <c r="A40" s="44">
        <f>'1 | Eingabe der Objektdaten'!A71</f>
        <v>31</v>
      </c>
      <c r="B40" s="20">
        <f>'1 | Eingabe der Objektdaten'!C71*'1 | Eingabe der Objektdaten'!D71*12</f>
        <v>0</v>
      </c>
      <c r="C40" s="20">
        <f>B40*'1 | Eingabe der Objektdaten'!H71</f>
        <v>0</v>
      </c>
      <c r="D40" s="17"/>
      <c r="E40" s="20">
        <f>'1 | Eingabe der Objektdaten'!F71</f>
        <v>0</v>
      </c>
      <c r="F40" s="20">
        <f>'1 | Eingabe der Objektdaten'!E71*'1 | Eingabe der Objektdaten'!B71</f>
        <v>0</v>
      </c>
      <c r="G40" s="20">
        <f>'1 | Eingabe der Objektdaten'!G71*'1 | Eingabe der Objektdaten'!C71</f>
        <v>0</v>
      </c>
      <c r="H40" s="20">
        <f>IF('1 | Eingabe der Objektdaten'!$F$22-30&gt;0,'1 | Eingabe der Objektdaten'!$F$14*'1 | Eingabe der Objektdaten'!$F$13*'3 | Ermittlung des Ertragswerts'!$D$5,0)</f>
        <v>0</v>
      </c>
      <c r="I40" s="51">
        <f t="shared" si="1"/>
        <v>0</v>
      </c>
      <c r="J40" s="52">
        <f t="shared" si="2"/>
        <v>31</v>
      </c>
      <c r="K40" s="53">
        <f>1/POWER((1+D5),J40)</f>
        <v>0.63030781271575509</v>
      </c>
      <c r="L40" s="51">
        <f t="shared" si="0"/>
        <v>0</v>
      </c>
    </row>
    <row r="41" spans="1:12" ht="13.9" customHeight="1" x14ac:dyDescent="0.2">
      <c r="A41" s="44">
        <f>'1 | Eingabe der Objektdaten'!A72</f>
        <v>32</v>
      </c>
      <c r="B41" s="20">
        <f>'1 | Eingabe der Objektdaten'!C72*'1 | Eingabe der Objektdaten'!D72*12</f>
        <v>0</v>
      </c>
      <c r="C41" s="20">
        <f>B41*'1 | Eingabe der Objektdaten'!H72</f>
        <v>0</v>
      </c>
      <c r="D41" s="17"/>
      <c r="E41" s="20">
        <f>'1 | Eingabe der Objektdaten'!F72</f>
        <v>0</v>
      </c>
      <c r="F41" s="20">
        <f>'1 | Eingabe der Objektdaten'!E72*'1 | Eingabe der Objektdaten'!B72</f>
        <v>0</v>
      </c>
      <c r="G41" s="20">
        <f>'1 | Eingabe der Objektdaten'!G72*'1 | Eingabe der Objektdaten'!C72</f>
        <v>0</v>
      </c>
      <c r="H41" s="20">
        <f>IF('1 | Eingabe der Objektdaten'!$F$22-31&gt;0,'1 | Eingabe der Objektdaten'!$F$14*'1 | Eingabe der Objektdaten'!$F$13*'3 | Ermittlung des Ertragswerts'!$D$5,0)</f>
        <v>0</v>
      </c>
      <c r="I41" s="51">
        <f t="shared" si="1"/>
        <v>0</v>
      </c>
      <c r="J41" s="52">
        <f t="shared" si="2"/>
        <v>32</v>
      </c>
      <c r="K41" s="53">
        <f>1/POWER((1+D5),J41)</f>
        <v>0.62099291893177844</v>
      </c>
      <c r="L41" s="51">
        <f t="shared" si="0"/>
        <v>0</v>
      </c>
    </row>
    <row r="42" spans="1:12" ht="13.9" customHeight="1" x14ac:dyDescent="0.2">
      <c r="A42" s="44">
        <f>'1 | Eingabe der Objektdaten'!A73</f>
        <v>33</v>
      </c>
      <c r="B42" s="20">
        <f>'1 | Eingabe der Objektdaten'!C73*'1 | Eingabe der Objektdaten'!D73*12</f>
        <v>0</v>
      </c>
      <c r="C42" s="20">
        <f>B42*'1 | Eingabe der Objektdaten'!H73</f>
        <v>0</v>
      </c>
      <c r="D42" s="17"/>
      <c r="E42" s="20">
        <f>'1 | Eingabe der Objektdaten'!F73</f>
        <v>0</v>
      </c>
      <c r="F42" s="20">
        <f>'1 | Eingabe der Objektdaten'!E73*'1 | Eingabe der Objektdaten'!B73</f>
        <v>0</v>
      </c>
      <c r="G42" s="20">
        <f>'1 | Eingabe der Objektdaten'!G73*'1 | Eingabe der Objektdaten'!C73</f>
        <v>0</v>
      </c>
      <c r="H42" s="20">
        <f>IF('1 | Eingabe der Objektdaten'!$F$22-32&gt;0,'1 | Eingabe der Objektdaten'!$F$14*'1 | Eingabe der Objektdaten'!$F$13*'3 | Ermittlung des Ertragswerts'!$D$5,0)</f>
        <v>0</v>
      </c>
      <c r="I42" s="51">
        <f t="shared" si="1"/>
        <v>0</v>
      </c>
      <c r="J42" s="52">
        <f t="shared" si="2"/>
        <v>33</v>
      </c>
      <c r="K42" s="53">
        <f>1/POWER((1+D5),J42)</f>
        <v>0.61181568367662909</v>
      </c>
      <c r="L42" s="51">
        <f t="shared" si="0"/>
        <v>0</v>
      </c>
    </row>
    <row r="43" spans="1:12" ht="13.9" customHeight="1" x14ac:dyDescent="0.2">
      <c r="A43" s="44">
        <f>'1 | Eingabe der Objektdaten'!A74</f>
        <v>34</v>
      </c>
      <c r="B43" s="20">
        <f>'1 | Eingabe der Objektdaten'!C74*'1 | Eingabe der Objektdaten'!D74*12</f>
        <v>0</v>
      </c>
      <c r="C43" s="20">
        <f>B43*'1 | Eingabe der Objektdaten'!H74</f>
        <v>0</v>
      </c>
      <c r="D43" s="17"/>
      <c r="E43" s="20">
        <f>'1 | Eingabe der Objektdaten'!F74</f>
        <v>0</v>
      </c>
      <c r="F43" s="20">
        <f>'1 | Eingabe der Objektdaten'!E74*'1 | Eingabe der Objektdaten'!B74</f>
        <v>0</v>
      </c>
      <c r="G43" s="20">
        <f>'1 | Eingabe der Objektdaten'!G74*'1 | Eingabe der Objektdaten'!C74</f>
        <v>0</v>
      </c>
      <c r="H43" s="20">
        <f>IF('1 | Eingabe der Objektdaten'!$F$22-33&gt;0,'1 | Eingabe der Objektdaten'!$F$14*'1 | Eingabe der Objektdaten'!$F$13*'3 | Ermittlung des Ertragswerts'!$D$5,0)</f>
        <v>0</v>
      </c>
      <c r="I43" s="51">
        <f t="shared" si="1"/>
        <v>0</v>
      </c>
      <c r="J43" s="52">
        <f t="shared" si="2"/>
        <v>34</v>
      </c>
      <c r="K43" s="53">
        <f>1/POWER((1+D5),J43)</f>
        <v>0.60277407258781202</v>
      </c>
      <c r="L43" s="51">
        <f t="shared" si="0"/>
        <v>0</v>
      </c>
    </row>
    <row r="44" spans="1:12" ht="13.9" customHeight="1" x14ac:dyDescent="0.2">
      <c r="A44" s="44">
        <f>'1 | Eingabe der Objektdaten'!A75</f>
        <v>35</v>
      </c>
      <c r="B44" s="20">
        <f>'1 | Eingabe der Objektdaten'!C75*'1 | Eingabe der Objektdaten'!D75*12</f>
        <v>0</v>
      </c>
      <c r="C44" s="20">
        <f>B44*'1 | Eingabe der Objektdaten'!H75</f>
        <v>0</v>
      </c>
      <c r="D44" s="17"/>
      <c r="E44" s="20">
        <f>'1 | Eingabe der Objektdaten'!F75</f>
        <v>0</v>
      </c>
      <c r="F44" s="20">
        <f>'1 | Eingabe der Objektdaten'!E75*'1 | Eingabe der Objektdaten'!B75</f>
        <v>0</v>
      </c>
      <c r="G44" s="20">
        <f>'1 | Eingabe der Objektdaten'!G75*'1 | Eingabe der Objektdaten'!C75</f>
        <v>0</v>
      </c>
      <c r="H44" s="20">
        <f>IF('1 | Eingabe der Objektdaten'!$F$22-34&gt;0,'1 | Eingabe der Objektdaten'!$F$14*'1 | Eingabe der Objektdaten'!$F$13*'3 | Ermittlung des Ertragswerts'!$D$5,0)</f>
        <v>0</v>
      </c>
      <c r="I44" s="51">
        <f t="shared" si="1"/>
        <v>0</v>
      </c>
      <c r="J44" s="52">
        <f t="shared" si="2"/>
        <v>35</v>
      </c>
      <c r="K44" s="53">
        <f>1/POWER((1+D5),J44)</f>
        <v>0.59386608136730257</v>
      </c>
      <c r="L44" s="51">
        <f t="shared" si="0"/>
        <v>0</v>
      </c>
    </row>
    <row r="45" spans="1:12" ht="13.9" customHeight="1" x14ac:dyDescent="0.2">
      <c r="A45" s="44">
        <f>'1 | Eingabe der Objektdaten'!A76</f>
        <v>36</v>
      </c>
      <c r="B45" s="20">
        <f>'1 | Eingabe der Objektdaten'!C76*'1 | Eingabe der Objektdaten'!D76*12</f>
        <v>0</v>
      </c>
      <c r="C45" s="20">
        <f>B45*'1 | Eingabe der Objektdaten'!H76</f>
        <v>0</v>
      </c>
      <c r="D45" s="17"/>
      <c r="E45" s="20">
        <f>'1 | Eingabe der Objektdaten'!F76</f>
        <v>0</v>
      </c>
      <c r="F45" s="20">
        <f>'1 | Eingabe der Objektdaten'!E76*'1 | Eingabe der Objektdaten'!B76</f>
        <v>0</v>
      </c>
      <c r="G45" s="20">
        <f>'1 | Eingabe der Objektdaten'!G76*'1 | Eingabe der Objektdaten'!C76</f>
        <v>0</v>
      </c>
      <c r="H45" s="20">
        <f>IF('1 | Eingabe der Objektdaten'!$F$22-35&gt;0,'1 | Eingabe der Objektdaten'!$F$14*'1 | Eingabe der Objektdaten'!$F$13*'3 | Ermittlung des Ertragswerts'!$D$5,0)</f>
        <v>0</v>
      </c>
      <c r="I45" s="51">
        <f t="shared" si="1"/>
        <v>0</v>
      </c>
      <c r="J45" s="52">
        <f t="shared" si="2"/>
        <v>36</v>
      </c>
      <c r="K45" s="53">
        <f>1/POWER((1+D5),J45)</f>
        <v>0.58508973533724395</v>
      </c>
      <c r="L45" s="51">
        <f t="shared" si="0"/>
        <v>0</v>
      </c>
    </row>
    <row r="46" spans="1:12" ht="13.9" customHeight="1" x14ac:dyDescent="0.2">
      <c r="A46" s="44">
        <f>'1 | Eingabe der Objektdaten'!A77</f>
        <v>37</v>
      </c>
      <c r="B46" s="20">
        <f>'1 | Eingabe der Objektdaten'!C77*'1 | Eingabe der Objektdaten'!D77*12</f>
        <v>0</v>
      </c>
      <c r="C46" s="20">
        <f>B46*'1 | Eingabe der Objektdaten'!H77</f>
        <v>0</v>
      </c>
      <c r="D46" s="17"/>
      <c r="E46" s="20">
        <f>'1 | Eingabe der Objektdaten'!F77</f>
        <v>0</v>
      </c>
      <c r="F46" s="20">
        <f>'1 | Eingabe der Objektdaten'!E77*'1 | Eingabe der Objektdaten'!B77</f>
        <v>0</v>
      </c>
      <c r="G46" s="20">
        <f>'1 | Eingabe der Objektdaten'!G77*'1 | Eingabe der Objektdaten'!C77</f>
        <v>0</v>
      </c>
      <c r="H46" s="20">
        <f>IF('1 | Eingabe der Objektdaten'!$F$22-36&gt;0,'1 | Eingabe der Objektdaten'!$F$14*'1 | Eingabe der Objektdaten'!$F$13*'3 | Ermittlung des Ertragswerts'!$D$5,0)</f>
        <v>0</v>
      </c>
      <c r="I46" s="51">
        <f t="shared" si="1"/>
        <v>0</v>
      </c>
      <c r="J46" s="52">
        <f t="shared" si="2"/>
        <v>37</v>
      </c>
      <c r="K46" s="53">
        <f>1/POWER((1+D5),J46)</f>
        <v>0.57644308900221086</v>
      </c>
      <c r="L46" s="51">
        <f t="shared" si="0"/>
        <v>0</v>
      </c>
    </row>
    <row r="47" spans="1:12" ht="13.9" customHeight="1" x14ac:dyDescent="0.2">
      <c r="A47" s="44">
        <f>'1 | Eingabe der Objektdaten'!A78</f>
        <v>38</v>
      </c>
      <c r="B47" s="20">
        <f>'1 | Eingabe der Objektdaten'!C78*'1 | Eingabe der Objektdaten'!D78*12</f>
        <v>0</v>
      </c>
      <c r="C47" s="20">
        <f>B47*'1 | Eingabe der Objektdaten'!H78</f>
        <v>0</v>
      </c>
      <c r="D47" s="17"/>
      <c r="E47" s="20">
        <f>'1 | Eingabe der Objektdaten'!F78</f>
        <v>0</v>
      </c>
      <c r="F47" s="20">
        <f>'1 | Eingabe der Objektdaten'!E78*'1 | Eingabe der Objektdaten'!B78</f>
        <v>0</v>
      </c>
      <c r="G47" s="20">
        <f>'1 | Eingabe der Objektdaten'!G78*'1 | Eingabe der Objektdaten'!C78</f>
        <v>0</v>
      </c>
      <c r="H47" s="20">
        <f>IF('1 | Eingabe der Objektdaten'!$F$22-37&gt;0,'1 | Eingabe der Objektdaten'!$F$14*'1 | Eingabe der Objektdaten'!$F$13*'3 | Ermittlung des Ertragswerts'!$D$5,0)</f>
        <v>0</v>
      </c>
      <c r="I47" s="51">
        <f t="shared" si="1"/>
        <v>0</v>
      </c>
      <c r="J47" s="52">
        <f t="shared" si="2"/>
        <v>38</v>
      </c>
      <c r="K47" s="53">
        <f>1/POWER((1+D5),J47)</f>
        <v>0.56792422561794187</v>
      </c>
      <c r="L47" s="51">
        <f t="shared" si="0"/>
        <v>0</v>
      </c>
    </row>
    <row r="48" spans="1:12" ht="13.9" customHeight="1" x14ac:dyDescent="0.2">
      <c r="A48" s="44">
        <f>'1 | Eingabe der Objektdaten'!A79</f>
        <v>39</v>
      </c>
      <c r="B48" s="20">
        <f>'1 | Eingabe der Objektdaten'!C79*'1 | Eingabe der Objektdaten'!D79*12</f>
        <v>0</v>
      </c>
      <c r="C48" s="20">
        <f>B48*'1 | Eingabe der Objektdaten'!H79</f>
        <v>0</v>
      </c>
      <c r="D48" s="17"/>
      <c r="E48" s="20">
        <f>'1 | Eingabe der Objektdaten'!F79</f>
        <v>0</v>
      </c>
      <c r="F48" s="20">
        <f>'1 | Eingabe der Objektdaten'!E79*'1 | Eingabe der Objektdaten'!B79</f>
        <v>0</v>
      </c>
      <c r="G48" s="20">
        <f>'1 | Eingabe der Objektdaten'!G79*'1 | Eingabe der Objektdaten'!C79</f>
        <v>0</v>
      </c>
      <c r="H48" s="20">
        <f>IF('1 | Eingabe der Objektdaten'!$F$22-38&gt;0,'1 | Eingabe der Objektdaten'!$F$14*'1 | Eingabe der Objektdaten'!$F$13*'3 | Ermittlung des Ertragswerts'!$D$5,0)</f>
        <v>0</v>
      </c>
      <c r="I48" s="51">
        <f t="shared" si="1"/>
        <v>0</v>
      </c>
      <c r="J48" s="52">
        <f t="shared" si="2"/>
        <v>39</v>
      </c>
      <c r="K48" s="53">
        <f>1/POWER((1+D5),J48)</f>
        <v>0.55953125676644533</v>
      </c>
      <c r="L48" s="51">
        <f t="shared" si="0"/>
        <v>0</v>
      </c>
    </row>
    <row r="49" spans="1:12" ht="13.9" customHeight="1" x14ac:dyDescent="0.2">
      <c r="A49" s="44">
        <f>'1 | Eingabe der Objektdaten'!A80</f>
        <v>40</v>
      </c>
      <c r="B49" s="20">
        <f>'1 | Eingabe der Objektdaten'!C80*'1 | Eingabe der Objektdaten'!D80*12</f>
        <v>0</v>
      </c>
      <c r="C49" s="20">
        <f>B49*'1 | Eingabe der Objektdaten'!H80</f>
        <v>0</v>
      </c>
      <c r="D49" s="17"/>
      <c r="E49" s="20">
        <f>'1 | Eingabe der Objektdaten'!F80</f>
        <v>0</v>
      </c>
      <c r="F49" s="20">
        <f>'1 | Eingabe der Objektdaten'!E80*'1 | Eingabe der Objektdaten'!B80</f>
        <v>0</v>
      </c>
      <c r="G49" s="20">
        <f>'1 | Eingabe der Objektdaten'!G80*'1 | Eingabe der Objektdaten'!C80</f>
        <v>0</v>
      </c>
      <c r="H49" s="20">
        <f>IF('1 | Eingabe der Objektdaten'!$F$22-39&gt;0,'1 | Eingabe der Objektdaten'!$F$14*'1 | Eingabe der Objektdaten'!$F$13*'3 | Ermittlung des Ertragswerts'!$D$5,0)</f>
        <v>0</v>
      </c>
      <c r="I49" s="51">
        <f t="shared" si="1"/>
        <v>0</v>
      </c>
      <c r="J49" s="52">
        <f t="shared" si="2"/>
        <v>40</v>
      </c>
      <c r="K49" s="53">
        <f>1/POWER((1+D5),J49)</f>
        <v>0.55126232193738456</v>
      </c>
      <c r="L49" s="51">
        <f t="shared" si="0"/>
        <v>0</v>
      </c>
    </row>
    <row r="50" spans="1:12" ht="13.9" customHeight="1" x14ac:dyDescent="0.2">
      <c r="A50" s="44">
        <f>'1 | Eingabe der Objektdaten'!A81</f>
        <v>41</v>
      </c>
      <c r="B50" s="20">
        <f>'1 | Eingabe der Objektdaten'!C81*'1 | Eingabe der Objektdaten'!D81*12</f>
        <v>0</v>
      </c>
      <c r="C50" s="20">
        <f>B50*'1 | Eingabe der Objektdaten'!H81</f>
        <v>0</v>
      </c>
      <c r="D50" s="17"/>
      <c r="E50" s="20">
        <f>'1 | Eingabe der Objektdaten'!F81</f>
        <v>0</v>
      </c>
      <c r="F50" s="20">
        <f>'1 | Eingabe der Objektdaten'!E81*'1 | Eingabe der Objektdaten'!B81</f>
        <v>0</v>
      </c>
      <c r="G50" s="20">
        <f>'1 | Eingabe der Objektdaten'!G81*'1 | Eingabe der Objektdaten'!C81</f>
        <v>0</v>
      </c>
      <c r="H50" s="20">
        <f>IF('1 | Eingabe der Objektdaten'!$F$22-40&gt;0,'1 | Eingabe der Objektdaten'!$F$14*'1 | Eingabe der Objektdaten'!$F$13*'3 | Ermittlung des Ertragswerts'!$D$5,0)</f>
        <v>0</v>
      </c>
      <c r="I50" s="51">
        <f t="shared" si="1"/>
        <v>0</v>
      </c>
      <c r="J50" s="52">
        <f t="shared" si="2"/>
        <v>41</v>
      </c>
      <c r="K50" s="53">
        <f>1/POWER((1+D5),J50)</f>
        <v>0.54311558811564986</v>
      </c>
      <c r="L50" s="51">
        <f t="shared" si="0"/>
        <v>0</v>
      </c>
    </row>
    <row r="51" spans="1:12" ht="13.9" customHeight="1" x14ac:dyDescent="0.2">
      <c r="A51" s="44">
        <f>'1 | Eingabe der Objektdaten'!A82</f>
        <v>42</v>
      </c>
      <c r="B51" s="20">
        <f>'1 | Eingabe der Objektdaten'!C82*'1 | Eingabe der Objektdaten'!D82*12</f>
        <v>0</v>
      </c>
      <c r="C51" s="20">
        <f>B51*'1 | Eingabe der Objektdaten'!H82</f>
        <v>0</v>
      </c>
      <c r="D51" s="17"/>
      <c r="E51" s="20">
        <f>'1 | Eingabe der Objektdaten'!F82</f>
        <v>0</v>
      </c>
      <c r="F51" s="20">
        <f>'1 | Eingabe der Objektdaten'!E82*'1 | Eingabe der Objektdaten'!B82</f>
        <v>0</v>
      </c>
      <c r="G51" s="20">
        <f>'1 | Eingabe der Objektdaten'!G82*'1 | Eingabe der Objektdaten'!C82</f>
        <v>0</v>
      </c>
      <c r="H51" s="20">
        <f>IF('1 | Eingabe der Objektdaten'!$F$22-41&gt;0,'1 | Eingabe der Objektdaten'!$F$14*'1 | Eingabe der Objektdaten'!$F$13*'3 | Ermittlung des Ertragswerts'!$D$5,0)</f>
        <v>0</v>
      </c>
      <c r="I51" s="51">
        <f t="shared" si="1"/>
        <v>0</v>
      </c>
      <c r="J51" s="52">
        <f t="shared" si="2"/>
        <v>42</v>
      </c>
      <c r="K51" s="53">
        <f>1/POWER((1+D5),J51)</f>
        <v>0.53508924937502456</v>
      </c>
      <c r="L51" s="51">
        <f t="shared" si="0"/>
        <v>0</v>
      </c>
    </row>
    <row r="52" spans="1:12" ht="13.9" customHeight="1" x14ac:dyDescent="0.2">
      <c r="A52" s="44">
        <f>'1 | Eingabe der Objektdaten'!A83</f>
        <v>43</v>
      </c>
      <c r="B52" s="20">
        <f>'1 | Eingabe der Objektdaten'!C83*'1 | Eingabe der Objektdaten'!D83*12</f>
        <v>0</v>
      </c>
      <c r="C52" s="20">
        <f>B52*'1 | Eingabe der Objektdaten'!H83</f>
        <v>0</v>
      </c>
      <c r="D52" s="17"/>
      <c r="E52" s="20">
        <f>'1 | Eingabe der Objektdaten'!F83</f>
        <v>0</v>
      </c>
      <c r="F52" s="20">
        <f>'1 | Eingabe der Objektdaten'!E83*'1 | Eingabe der Objektdaten'!B83</f>
        <v>0</v>
      </c>
      <c r="G52" s="20">
        <f>'1 | Eingabe der Objektdaten'!G83*'1 | Eingabe der Objektdaten'!C83</f>
        <v>0</v>
      </c>
      <c r="H52" s="20">
        <f>IF('1 | Eingabe der Objektdaten'!$F$22-42&gt;0,'1 | Eingabe der Objektdaten'!$F$14*'1 | Eingabe der Objektdaten'!$F$13*'3 | Ermittlung des Ertragswerts'!$D$5,0)</f>
        <v>0</v>
      </c>
      <c r="I52" s="51">
        <f t="shared" si="1"/>
        <v>0</v>
      </c>
      <c r="J52" s="52">
        <f t="shared" si="2"/>
        <v>43</v>
      </c>
      <c r="K52" s="53">
        <f>1/POWER((1+D5),J52)</f>
        <v>0.52718152647785677</v>
      </c>
      <c r="L52" s="51">
        <f t="shared" si="0"/>
        <v>0</v>
      </c>
    </row>
    <row r="53" spans="1:12" ht="13.9" customHeight="1" x14ac:dyDescent="0.2">
      <c r="A53" s="44">
        <f>'1 | Eingabe der Objektdaten'!A84</f>
        <v>44</v>
      </c>
      <c r="B53" s="20">
        <f>'1 | Eingabe der Objektdaten'!C84*'1 | Eingabe der Objektdaten'!D84*12</f>
        <v>0</v>
      </c>
      <c r="C53" s="20">
        <f>B53*'1 | Eingabe der Objektdaten'!H84</f>
        <v>0</v>
      </c>
      <c r="D53" s="17"/>
      <c r="E53" s="20">
        <f>'1 | Eingabe der Objektdaten'!F84</f>
        <v>0</v>
      </c>
      <c r="F53" s="20">
        <f>'1 | Eingabe der Objektdaten'!E84*'1 | Eingabe der Objektdaten'!B84</f>
        <v>0</v>
      </c>
      <c r="G53" s="20">
        <f>'1 | Eingabe der Objektdaten'!G84*'1 | Eingabe der Objektdaten'!C84</f>
        <v>0</v>
      </c>
      <c r="H53" s="20">
        <f>IF('1 | Eingabe der Objektdaten'!$F$22-43&gt;0,'1 | Eingabe der Objektdaten'!$F$14*'1 | Eingabe der Objektdaten'!$F$13*'3 | Ermittlung des Ertragswerts'!$D$5,0)</f>
        <v>0</v>
      </c>
      <c r="I53" s="51">
        <f t="shared" ref="I53:I89" si="3">B53-C53+D53-E53-F53-G53-H53</f>
        <v>0</v>
      </c>
      <c r="J53" s="52">
        <f t="shared" si="2"/>
        <v>44</v>
      </c>
      <c r="K53" s="53">
        <f>1/POWER((1+D5),J53)</f>
        <v>0.51939066648064725</v>
      </c>
      <c r="L53" s="51">
        <f t="shared" ref="L53:L89" si="4">I53*K53</f>
        <v>0</v>
      </c>
    </row>
    <row r="54" spans="1:12" ht="13.9" customHeight="1" x14ac:dyDescent="0.2">
      <c r="A54" s="44">
        <f>'1 | Eingabe der Objektdaten'!A85</f>
        <v>45</v>
      </c>
      <c r="B54" s="20">
        <f>'1 | Eingabe der Objektdaten'!C85*'1 | Eingabe der Objektdaten'!D85*12</f>
        <v>0</v>
      </c>
      <c r="C54" s="20">
        <f>B54*'1 | Eingabe der Objektdaten'!H85</f>
        <v>0</v>
      </c>
      <c r="D54" s="17"/>
      <c r="E54" s="20">
        <f>'1 | Eingabe der Objektdaten'!F85</f>
        <v>0</v>
      </c>
      <c r="F54" s="20">
        <f>'1 | Eingabe der Objektdaten'!E85*'1 | Eingabe der Objektdaten'!B85</f>
        <v>0</v>
      </c>
      <c r="G54" s="20">
        <f>'1 | Eingabe der Objektdaten'!G85*'1 | Eingabe der Objektdaten'!C85</f>
        <v>0</v>
      </c>
      <c r="H54" s="20">
        <f>IF('1 | Eingabe der Objektdaten'!$F$22-44&gt;0,'1 | Eingabe der Objektdaten'!$F$14*'1 | Eingabe der Objektdaten'!$F$13*'3 | Ermittlung des Ertragswerts'!$D$5,0)</f>
        <v>0</v>
      </c>
      <c r="I54" s="51">
        <f t="shared" si="3"/>
        <v>0</v>
      </c>
      <c r="J54" s="52">
        <f t="shared" si="2"/>
        <v>45</v>
      </c>
      <c r="K54" s="53">
        <f>1/POWER((1+D5),J54)</f>
        <v>0.51171494234546522</v>
      </c>
      <c r="L54" s="51">
        <f t="shared" si="4"/>
        <v>0</v>
      </c>
    </row>
    <row r="55" spans="1:12" ht="13.9" customHeight="1" x14ac:dyDescent="0.2">
      <c r="A55" s="44">
        <f>'1 | Eingabe der Objektdaten'!A86</f>
        <v>46</v>
      </c>
      <c r="B55" s="20">
        <f>'1 | Eingabe der Objektdaten'!C86*'1 | Eingabe der Objektdaten'!D86*12</f>
        <v>0</v>
      </c>
      <c r="C55" s="20">
        <f>B55*'1 | Eingabe der Objektdaten'!H86</f>
        <v>0</v>
      </c>
      <c r="D55" s="17"/>
      <c r="E55" s="20">
        <f>'1 | Eingabe der Objektdaten'!F86</f>
        <v>0</v>
      </c>
      <c r="F55" s="20">
        <f>'1 | Eingabe der Objektdaten'!E86*'1 | Eingabe der Objektdaten'!B86</f>
        <v>0</v>
      </c>
      <c r="G55" s="20">
        <f>'1 | Eingabe der Objektdaten'!G86*'1 | Eingabe der Objektdaten'!C86</f>
        <v>0</v>
      </c>
      <c r="H55" s="20">
        <f>IF('1 | Eingabe der Objektdaten'!$F$22-45&gt;0,'1 | Eingabe der Objektdaten'!$F$14*'1 | Eingabe der Objektdaten'!$F$13*'3 | Ermittlung des Ertragswerts'!$D$5,0)</f>
        <v>0</v>
      </c>
      <c r="I55" s="51">
        <f t="shared" si="3"/>
        <v>0</v>
      </c>
      <c r="J55" s="52">
        <f t="shared" si="2"/>
        <v>46</v>
      </c>
      <c r="K55" s="53">
        <f>1/POWER((1+D5),J55)</f>
        <v>0.50415265255710873</v>
      </c>
      <c r="L55" s="51">
        <f t="shared" si="4"/>
        <v>0</v>
      </c>
    </row>
    <row r="56" spans="1:12" ht="13.9" customHeight="1" x14ac:dyDescent="0.2">
      <c r="A56" s="44">
        <f>'1 | Eingabe der Objektdaten'!A87</f>
        <v>47</v>
      </c>
      <c r="B56" s="20">
        <f>'1 | Eingabe der Objektdaten'!C87*'1 | Eingabe der Objektdaten'!D87*12</f>
        <v>0</v>
      </c>
      <c r="C56" s="20">
        <f>B56*'1 | Eingabe der Objektdaten'!H87</f>
        <v>0</v>
      </c>
      <c r="D56" s="17"/>
      <c r="E56" s="20">
        <f>'1 | Eingabe der Objektdaten'!F87</f>
        <v>0</v>
      </c>
      <c r="F56" s="20">
        <f>'1 | Eingabe der Objektdaten'!E87*'1 | Eingabe der Objektdaten'!B87</f>
        <v>0</v>
      </c>
      <c r="G56" s="20">
        <f>'1 | Eingabe der Objektdaten'!G87*'1 | Eingabe der Objektdaten'!C87</f>
        <v>0</v>
      </c>
      <c r="H56" s="20">
        <f>IF('1 | Eingabe der Objektdaten'!$F$22-46&gt;0,'1 | Eingabe der Objektdaten'!$F$14*'1 | Eingabe der Objektdaten'!$F$13*'3 | Ermittlung des Ertragswerts'!$D$5,0)</f>
        <v>0</v>
      </c>
      <c r="I56" s="51">
        <f t="shared" si="3"/>
        <v>0</v>
      </c>
      <c r="J56" s="52">
        <f t="shared" si="2"/>
        <v>47</v>
      </c>
      <c r="K56" s="53">
        <f>1/POWER((1+D5),J56)</f>
        <v>0.49670212074591996</v>
      </c>
      <c r="L56" s="51">
        <f t="shared" si="4"/>
        <v>0</v>
      </c>
    </row>
    <row r="57" spans="1:12" ht="13.9" customHeight="1" x14ac:dyDescent="0.2">
      <c r="A57" s="44">
        <f>'1 | Eingabe der Objektdaten'!A88</f>
        <v>48</v>
      </c>
      <c r="B57" s="20">
        <f>'1 | Eingabe der Objektdaten'!C88*'1 | Eingabe der Objektdaten'!D88*12</f>
        <v>0</v>
      </c>
      <c r="C57" s="20">
        <f>B57*'1 | Eingabe der Objektdaten'!H88</f>
        <v>0</v>
      </c>
      <c r="D57" s="17"/>
      <c r="E57" s="20">
        <f>'1 | Eingabe der Objektdaten'!F88</f>
        <v>0</v>
      </c>
      <c r="F57" s="20">
        <f>'1 | Eingabe der Objektdaten'!E88*'1 | Eingabe der Objektdaten'!B88</f>
        <v>0</v>
      </c>
      <c r="G57" s="20">
        <f>'1 | Eingabe der Objektdaten'!G88*'1 | Eingabe der Objektdaten'!C88</f>
        <v>0</v>
      </c>
      <c r="H57" s="20">
        <f>IF('1 | Eingabe der Objektdaten'!$F$22-47&gt;0,'1 | Eingabe der Objektdaten'!$F$14*'1 | Eingabe der Objektdaten'!$F$13*'3 | Ermittlung des Ertragswerts'!$D$5,0)</f>
        <v>0</v>
      </c>
      <c r="I57" s="51">
        <f t="shared" si="3"/>
        <v>0</v>
      </c>
      <c r="J57" s="52">
        <f t="shared" si="2"/>
        <v>48</v>
      </c>
      <c r="K57" s="53">
        <f>1/POWER((1+D5),J57)</f>
        <v>0.4893616953161774</v>
      </c>
      <c r="L57" s="51">
        <f t="shared" si="4"/>
        <v>0</v>
      </c>
    </row>
    <row r="58" spans="1:12" ht="13.9" customHeight="1" x14ac:dyDescent="0.2">
      <c r="A58" s="44">
        <f>'1 | Eingabe der Objektdaten'!A89</f>
        <v>49</v>
      </c>
      <c r="B58" s="20">
        <f>'1 | Eingabe der Objektdaten'!C89*'1 | Eingabe der Objektdaten'!D89*12</f>
        <v>0</v>
      </c>
      <c r="C58" s="20">
        <f>B58*'1 | Eingabe der Objektdaten'!H89</f>
        <v>0</v>
      </c>
      <c r="D58" s="17"/>
      <c r="E58" s="20">
        <f>'1 | Eingabe der Objektdaten'!F89</f>
        <v>0</v>
      </c>
      <c r="F58" s="20">
        <f>'1 | Eingabe der Objektdaten'!E89*'1 | Eingabe der Objektdaten'!B89</f>
        <v>0</v>
      </c>
      <c r="G58" s="20">
        <f>'1 | Eingabe der Objektdaten'!G89*'1 | Eingabe der Objektdaten'!C89</f>
        <v>0</v>
      </c>
      <c r="H58" s="20">
        <f>IF('1 | Eingabe der Objektdaten'!$F$22-48&gt;0,'1 | Eingabe der Objektdaten'!$F$14*'1 | Eingabe der Objektdaten'!$F$13*'3 | Ermittlung des Ertragswerts'!$D$5,0)</f>
        <v>0</v>
      </c>
      <c r="I58" s="51">
        <f t="shared" si="3"/>
        <v>0</v>
      </c>
      <c r="J58" s="52">
        <f t="shared" si="2"/>
        <v>49</v>
      </c>
      <c r="K58" s="53">
        <f>1/POWER((1+D5),J58)</f>
        <v>0.48212974907997785</v>
      </c>
      <c r="L58" s="51">
        <f t="shared" si="4"/>
        <v>0</v>
      </c>
    </row>
    <row r="59" spans="1:12" ht="13.9" customHeight="1" x14ac:dyDescent="0.2">
      <c r="A59" s="44">
        <f>'1 | Eingabe der Objektdaten'!A90</f>
        <v>50</v>
      </c>
      <c r="B59" s="20">
        <f>'1 | Eingabe der Objektdaten'!C90*'1 | Eingabe der Objektdaten'!D90*12</f>
        <v>0</v>
      </c>
      <c r="C59" s="20">
        <f>B59*'1 | Eingabe der Objektdaten'!H90</f>
        <v>0</v>
      </c>
      <c r="D59" s="17"/>
      <c r="E59" s="20">
        <f>'1 | Eingabe der Objektdaten'!F90</f>
        <v>0</v>
      </c>
      <c r="F59" s="20">
        <f>'1 | Eingabe der Objektdaten'!E90*'1 | Eingabe der Objektdaten'!B90</f>
        <v>0</v>
      </c>
      <c r="G59" s="20">
        <f>'1 | Eingabe der Objektdaten'!G90*'1 | Eingabe der Objektdaten'!C90</f>
        <v>0</v>
      </c>
      <c r="H59" s="20">
        <f>IF('1 | Eingabe der Objektdaten'!$F$22-49&gt;0,'1 | Eingabe der Objektdaten'!$F$14*'1 | Eingabe der Objektdaten'!$F$13*'3 | Ermittlung des Ertragswerts'!$D$5,0)</f>
        <v>0</v>
      </c>
      <c r="I59" s="51">
        <f t="shared" si="3"/>
        <v>0</v>
      </c>
      <c r="J59" s="52">
        <f t="shared" si="2"/>
        <v>50</v>
      </c>
      <c r="K59" s="53">
        <f>1/POWER((1+D5),J59)</f>
        <v>0.47500467889652986</v>
      </c>
      <c r="L59" s="51">
        <f t="shared" si="4"/>
        <v>0</v>
      </c>
    </row>
    <row r="60" spans="1:12" ht="13.9" customHeight="1" x14ac:dyDescent="0.2">
      <c r="A60" s="44">
        <f>'1 | Eingabe der Objektdaten'!A91</f>
        <v>51</v>
      </c>
      <c r="B60" s="20">
        <f>'1 | Eingabe der Objektdaten'!C91*'1 | Eingabe der Objektdaten'!D91*12</f>
        <v>0</v>
      </c>
      <c r="C60" s="20">
        <f>B60*'1 | Eingabe der Objektdaten'!H91</f>
        <v>0</v>
      </c>
      <c r="D60" s="17"/>
      <c r="E60" s="20">
        <f>'1 | Eingabe der Objektdaten'!F91</f>
        <v>0</v>
      </c>
      <c r="F60" s="20">
        <f>'1 | Eingabe der Objektdaten'!E91*'1 | Eingabe der Objektdaten'!B91</f>
        <v>0</v>
      </c>
      <c r="G60" s="20">
        <f>'1 | Eingabe der Objektdaten'!G91*'1 | Eingabe der Objektdaten'!C91</f>
        <v>0</v>
      </c>
      <c r="H60" s="20">
        <f>IF('1 | Eingabe der Objektdaten'!$F$22-50&gt;0,'1 | Eingabe der Objektdaten'!$F$14*'1 | Eingabe der Objektdaten'!$F$13*'3 | Ermittlung des Ertragswerts'!$D$5,0)</f>
        <v>0</v>
      </c>
      <c r="I60" s="51">
        <f t="shared" si="3"/>
        <v>0</v>
      </c>
      <c r="J60" s="52">
        <f t="shared" si="2"/>
        <v>51</v>
      </c>
      <c r="K60" s="53">
        <f>1/POWER((1+D5),J60)</f>
        <v>0.46798490531677822</v>
      </c>
      <c r="L60" s="51">
        <f t="shared" si="4"/>
        <v>0</v>
      </c>
    </row>
    <row r="61" spans="1:12" ht="13.9" customHeight="1" x14ac:dyDescent="0.2">
      <c r="A61" s="44">
        <f>'1 | Eingabe der Objektdaten'!A92</f>
        <v>52</v>
      </c>
      <c r="B61" s="20">
        <f>'1 | Eingabe der Objektdaten'!C92*'1 | Eingabe der Objektdaten'!D92*12</f>
        <v>0</v>
      </c>
      <c r="C61" s="20">
        <f>B61*'1 | Eingabe der Objektdaten'!H92</f>
        <v>0</v>
      </c>
      <c r="D61" s="17"/>
      <c r="E61" s="20">
        <f>'1 | Eingabe der Objektdaten'!F92</f>
        <v>0</v>
      </c>
      <c r="F61" s="20">
        <f>'1 | Eingabe der Objektdaten'!E92*'1 | Eingabe der Objektdaten'!B92</f>
        <v>0</v>
      </c>
      <c r="G61" s="20">
        <f>'1 | Eingabe der Objektdaten'!G92*'1 | Eingabe der Objektdaten'!C92</f>
        <v>0</v>
      </c>
      <c r="H61" s="20">
        <f>IF('1 | Eingabe der Objektdaten'!$F$22-51&gt;0,'1 | Eingabe der Objektdaten'!$F$14*'1 | Eingabe der Objektdaten'!$F$13*'3 | Ermittlung des Ertragswerts'!$D$5,0)</f>
        <v>0</v>
      </c>
      <c r="I61" s="51">
        <f t="shared" si="3"/>
        <v>0</v>
      </c>
      <c r="J61" s="52">
        <f t="shared" si="2"/>
        <v>52</v>
      </c>
      <c r="K61" s="53">
        <f>1/POWER((1+D5),J61)</f>
        <v>0.46106887223327919</v>
      </c>
      <c r="L61" s="51">
        <f t="shared" si="4"/>
        <v>0</v>
      </c>
    </row>
    <row r="62" spans="1:12" ht="13.9" customHeight="1" x14ac:dyDescent="0.2">
      <c r="A62" s="44">
        <f>'1 | Eingabe der Objektdaten'!A93</f>
        <v>53</v>
      </c>
      <c r="B62" s="20">
        <f>'1 | Eingabe der Objektdaten'!C93*'1 | Eingabe der Objektdaten'!D93*12</f>
        <v>0</v>
      </c>
      <c r="C62" s="20">
        <f>B62*'1 | Eingabe der Objektdaten'!H93</f>
        <v>0</v>
      </c>
      <c r="D62" s="17"/>
      <c r="E62" s="20">
        <f>'1 | Eingabe der Objektdaten'!F93</f>
        <v>0</v>
      </c>
      <c r="F62" s="20">
        <f>'1 | Eingabe der Objektdaten'!E93*'1 | Eingabe der Objektdaten'!B93</f>
        <v>0</v>
      </c>
      <c r="G62" s="20">
        <f>'1 | Eingabe der Objektdaten'!G93*'1 | Eingabe der Objektdaten'!C93</f>
        <v>0</v>
      </c>
      <c r="H62" s="20">
        <f>IF('1 | Eingabe der Objektdaten'!$F$22-52&gt;0,'1 | Eingabe der Objektdaten'!$F$14*'1 | Eingabe der Objektdaten'!$F$13*'3 | Ermittlung des Ertragswerts'!$D$5,0)</f>
        <v>0</v>
      </c>
      <c r="I62" s="51">
        <f t="shared" si="3"/>
        <v>0</v>
      </c>
      <c r="J62" s="52">
        <f t="shared" si="2"/>
        <v>53</v>
      </c>
      <c r="K62" s="53">
        <f>1/POWER((1+D5),J62)</f>
        <v>0.45425504653525051</v>
      </c>
      <c r="L62" s="51">
        <f t="shared" si="4"/>
        <v>0</v>
      </c>
    </row>
    <row r="63" spans="1:12" ht="13.9" customHeight="1" x14ac:dyDescent="0.2">
      <c r="A63" s="44">
        <f>'1 | Eingabe der Objektdaten'!A94</f>
        <v>54</v>
      </c>
      <c r="B63" s="20">
        <f>'1 | Eingabe der Objektdaten'!C94*'1 | Eingabe der Objektdaten'!D94*12</f>
        <v>0</v>
      </c>
      <c r="C63" s="20">
        <f>B63*'1 | Eingabe der Objektdaten'!H94</f>
        <v>0</v>
      </c>
      <c r="D63" s="17"/>
      <c r="E63" s="20">
        <f>'1 | Eingabe der Objektdaten'!F94</f>
        <v>0</v>
      </c>
      <c r="F63" s="20">
        <f>'1 | Eingabe der Objektdaten'!E94*'1 | Eingabe der Objektdaten'!B94</f>
        <v>0</v>
      </c>
      <c r="G63" s="20">
        <f>'1 | Eingabe der Objektdaten'!G94*'1 | Eingabe der Objektdaten'!C94</f>
        <v>0</v>
      </c>
      <c r="H63" s="20">
        <f>IF('1 | Eingabe der Objektdaten'!$F$22-53&gt;0,'1 | Eingabe der Objektdaten'!$F$14*'1 | Eingabe der Objektdaten'!$F$13*'3 | Ermittlung des Ertragswerts'!$D$5,0)</f>
        <v>0</v>
      </c>
      <c r="I63" s="51">
        <f t="shared" si="3"/>
        <v>0</v>
      </c>
      <c r="J63" s="52">
        <f t="shared" si="2"/>
        <v>54</v>
      </c>
      <c r="K63" s="53">
        <f>1/POWER((1+D5),J63)</f>
        <v>0.44754191776871982</v>
      </c>
      <c r="L63" s="51">
        <f t="shared" si="4"/>
        <v>0</v>
      </c>
    </row>
    <row r="64" spans="1:12" ht="13.9" customHeight="1" x14ac:dyDescent="0.2">
      <c r="A64" s="44">
        <f>'1 | Eingabe der Objektdaten'!A95</f>
        <v>55</v>
      </c>
      <c r="B64" s="20">
        <f>'1 | Eingabe der Objektdaten'!C95*'1 | Eingabe der Objektdaten'!D95*12</f>
        <v>0</v>
      </c>
      <c r="C64" s="20">
        <f>B64*'1 | Eingabe der Objektdaten'!H95</f>
        <v>0</v>
      </c>
      <c r="D64" s="17"/>
      <c r="E64" s="20">
        <f>'1 | Eingabe der Objektdaten'!F95</f>
        <v>0</v>
      </c>
      <c r="F64" s="20">
        <f>'1 | Eingabe der Objektdaten'!E95*'1 | Eingabe der Objektdaten'!B95</f>
        <v>0</v>
      </c>
      <c r="G64" s="20">
        <f>'1 | Eingabe der Objektdaten'!G95*'1 | Eingabe der Objektdaten'!C95</f>
        <v>0</v>
      </c>
      <c r="H64" s="20">
        <f>IF('1 | Eingabe der Objektdaten'!$F$22-54&gt;0,'1 | Eingabe der Objektdaten'!$F$14*'1 | Eingabe der Objektdaten'!$F$13*'3 | Ermittlung des Ertragswerts'!$D$5,0)</f>
        <v>0</v>
      </c>
      <c r="I64" s="51">
        <f t="shared" si="3"/>
        <v>0</v>
      </c>
      <c r="J64" s="52">
        <f t="shared" si="2"/>
        <v>55</v>
      </c>
      <c r="K64" s="53">
        <f>1/POWER((1+D5),J64)</f>
        <v>0.44092799780169439</v>
      </c>
      <c r="L64" s="51">
        <f t="shared" si="4"/>
        <v>0</v>
      </c>
    </row>
    <row r="65" spans="1:12" ht="13.9" customHeight="1" x14ac:dyDescent="0.2">
      <c r="A65" s="44">
        <f>'1 | Eingabe der Objektdaten'!A96</f>
        <v>56</v>
      </c>
      <c r="B65" s="20">
        <f>'1 | Eingabe der Objektdaten'!C96*'1 | Eingabe der Objektdaten'!D96*12</f>
        <v>0</v>
      </c>
      <c r="C65" s="20">
        <f>B65*'1 | Eingabe der Objektdaten'!H96</f>
        <v>0</v>
      </c>
      <c r="D65" s="17"/>
      <c r="E65" s="20">
        <f>'1 | Eingabe der Objektdaten'!F96</f>
        <v>0</v>
      </c>
      <c r="F65" s="20">
        <f>'1 | Eingabe der Objektdaten'!E96*'1 | Eingabe der Objektdaten'!B96</f>
        <v>0</v>
      </c>
      <c r="G65" s="20">
        <f>'1 | Eingabe der Objektdaten'!G96*'1 | Eingabe der Objektdaten'!C96</f>
        <v>0</v>
      </c>
      <c r="H65" s="20">
        <f>IF('1 | Eingabe der Objektdaten'!$F$22-55&gt;0,'1 | Eingabe der Objektdaten'!$F$14*'1 | Eingabe der Objektdaten'!$F$13*'3 | Ermittlung des Ertragswerts'!$D$5,0)</f>
        <v>0</v>
      </c>
      <c r="I65" s="51">
        <f t="shared" si="3"/>
        <v>0</v>
      </c>
      <c r="J65" s="52">
        <f t="shared" si="2"/>
        <v>56</v>
      </c>
      <c r="K65" s="53">
        <f>1/POWER((1+D5),J65)</f>
        <v>0.43441182049428023</v>
      </c>
      <c r="L65" s="51">
        <f t="shared" si="4"/>
        <v>0</v>
      </c>
    </row>
    <row r="66" spans="1:12" ht="13.9" customHeight="1" x14ac:dyDescent="0.2">
      <c r="A66" s="44">
        <f>'1 | Eingabe der Objektdaten'!A97</f>
        <v>57</v>
      </c>
      <c r="B66" s="20">
        <f>'1 | Eingabe der Objektdaten'!C97*'1 | Eingabe der Objektdaten'!D97*12</f>
        <v>0</v>
      </c>
      <c r="C66" s="20">
        <f>B66*'1 | Eingabe der Objektdaten'!H97</f>
        <v>0</v>
      </c>
      <c r="D66" s="17"/>
      <c r="E66" s="20">
        <f>'1 | Eingabe der Objektdaten'!F97</f>
        <v>0</v>
      </c>
      <c r="F66" s="20">
        <f>'1 | Eingabe der Objektdaten'!E97*'1 | Eingabe der Objektdaten'!B97</f>
        <v>0</v>
      </c>
      <c r="G66" s="20">
        <f>'1 | Eingabe der Objektdaten'!G97*'1 | Eingabe der Objektdaten'!C97</f>
        <v>0</v>
      </c>
      <c r="H66" s="20">
        <f>IF('1 | Eingabe der Objektdaten'!$F$22-56&gt;0,'1 | Eingabe der Objektdaten'!$F$14*'1 | Eingabe der Objektdaten'!$F$13*'3 | Ermittlung des Ertragswerts'!$D$5,0)</f>
        <v>0</v>
      </c>
      <c r="I66" s="51">
        <f t="shared" si="3"/>
        <v>0</v>
      </c>
      <c r="J66" s="52">
        <f t="shared" si="2"/>
        <v>57</v>
      </c>
      <c r="K66" s="53">
        <f>1/POWER((1+D5),J66)</f>
        <v>0.42799194137367519</v>
      </c>
      <c r="L66" s="51">
        <f t="shared" si="4"/>
        <v>0</v>
      </c>
    </row>
    <row r="67" spans="1:12" ht="13.9" customHeight="1" x14ac:dyDescent="0.2">
      <c r="A67" s="44">
        <f>'1 | Eingabe der Objektdaten'!A98</f>
        <v>58</v>
      </c>
      <c r="B67" s="20">
        <f>'1 | Eingabe der Objektdaten'!C98*'1 | Eingabe der Objektdaten'!D98*12</f>
        <v>0</v>
      </c>
      <c r="C67" s="20">
        <f>B67*'1 | Eingabe der Objektdaten'!H98</f>
        <v>0</v>
      </c>
      <c r="D67" s="17"/>
      <c r="E67" s="20">
        <f>'1 | Eingabe der Objektdaten'!F98</f>
        <v>0</v>
      </c>
      <c r="F67" s="20">
        <f>'1 | Eingabe der Objektdaten'!E98*'1 | Eingabe der Objektdaten'!B98</f>
        <v>0</v>
      </c>
      <c r="G67" s="20">
        <f>'1 | Eingabe der Objektdaten'!G98*'1 | Eingabe der Objektdaten'!C98</f>
        <v>0</v>
      </c>
      <c r="H67" s="20">
        <f>IF('1 | Eingabe der Objektdaten'!$F$22-57&gt;0,'1 | Eingabe der Objektdaten'!$F$14*'1 | Eingabe der Objektdaten'!$F$13*'3 | Ermittlung des Ertragswerts'!$D$5,0)</f>
        <v>0</v>
      </c>
      <c r="I67" s="51">
        <f t="shared" si="3"/>
        <v>0</v>
      </c>
      <c r="J67" s="52">
        <f t="shared" si="2"/>
        <v>58</v>
      </c>
      <c r="K67" s="53">
        <f>1/POWER((1+D5),J67)</f>
        <v>0.42166693731396576</v>
      </c>
      <c r="L67" s="51">
        <f t="shared" si="4"/>
        <v>0</v>
      </c>
    </row>
    <row r="68" spans="1:12" ht="13.9" customHeight="1" x14ac:dyDescent="0.2">
      <c r="A68" s="44">
        <f>'1 | Eingabe der Objektdaten'!A99</f>
        <v>59</v>
      </c>
      <c r="B68" s="20">
        <f>'1 | Eingabe der Objektdaten'!C99*'1 | Eingabe der Objektdaten'!D99*12</f>
        <v>0</v>
      </c>
      <c r="C68" s="20">
        <f>B68*'1 | Eingabe der Objektdaten'!H99</f>
        <v>0</v>
      </c>
      <c r="D68" s="17"/>
      <c r="E68" s="20">
        <f>'1 | Eingabe der Objektdaten'!F99</f>
        <v>0</v>
      </c>
      <c r="F68" s="20">
        <f>'1 | Eingabe der Objektdaten'!E99*'1 | Eingabe der Objektdaten'!B99</f>
        <v>0</v>
      </c>
      <c r="G68" s="20">
        <f>'1 | Eingabe der Objektdaten'!G99*'1 | Eingabe der Objektdaten'!C99</f>
        <v>0</v>
      </c>
      <c r="H68" s="20">
        <f>IF('1 | Eingabe der Objektdaten'!$F$22-58&gt;0,'1 | Eingabe der Objektdaten'!$F$14*'1 | Eingabe der Objektdaten'!$F$13*'3 | Ermittlung des Ertragswerts'!$D$5,0)</f>
        <v>0</v>
      </c>
      <c r="I68" s="51">
        <f t="shared" si="3"/>
        <v>0</v>
      </c>
      <c r="J68" s="52">
        <f t="shared" si="2"/>
        <v>59</v>
      </c>
      <c r="K68" s="53">
        <f>1/POWER((1+D5),J68)</f>
        <v>0.41543540622065595</v>
      </c>
      <c r="L68" s="51">
        <f t="shared" si="4"/>
        <v>0</v>
      </c>
    </row>
    <row r="69" spans="1:12" ht="13.9" customHeight="1" x14ac:dyDescent="0.2">
      <c r="A69" s="44">
        <f>'1 | Eingabe der Objektdaten'!A100</f>
        <v>60</v>
      </c>
      <c r="B69" s="20">
        <f>'1 | Eingabe der Objektdaten'!C100*'1 | Eingabe der Objektdaten'!D100*12</f>
        <v>0</v>
      </c>
      <c r="C69" s="20">
        <f>B69*'1 | Eingabe der Objektdaten'!H100</f>
        <v>0</v>
      </c>
      <c r="D69" s="17"/>
      <c r="E69" s="20">
        <f>'1 | Eingabe der Objektdaten'!F100</f>
        <v>0</v>
      </c>
      <c r="F69" s="20">
        <f>'1 | Eingabe der Objektdaten'!E100*'1 | Eingabe der Objektdaten'!B100</f>
        <v>0</v>
      </c>
      <c r="G69" s="20">
        <f>'1 | Eingabe der Objektdaten'!G100*'1 | Eingabe der Objektdaten'!C100</f>
        <v>0</v>
      </c>
      <c r="H69" s="20">
        <f>IF('1 | Eingabe der Objektdaten'!$F$22-59&gt;0,'1 | Eingabe der Objektdaten'!$F$14*'1 | Eingabe der Objektdaten'!$F$13*'3 | Ermittlung des Ertragswerts'!$D$5,0)</f>
        <v>0</v>
      </c>
      <c r="I69" s="51">
        <f t="shared" si="3"/>
        <v>0</v>
      </c>
      <c r="J69" s="52">
        <f t="shared" si="2"/>
        <v>60</v>
      </c>
      <c r="K69" s="53">
        <f>1/POWER((1+D5),J69)</f>
        <v>0.40929596671985818</v>
      </c>
      <c r="L69" s="51">
        <f t="shared" si="4"/>
        <v>0</v>
      </c>
    </row>
    <row r="70" spans="1:12" ht="13.9" customHeight="1" x14ac:dyDescent="0.2">
      <c r="A70" s="44">
        <f>'1 | Eingabe der Objektdaten'!A101</f>
        <v>61</v>
      </c>
      <c r="B70" s="20">
        <f>'1 | Eingabe der Objektdaten'!C101*'1 | Eingabe der Objektdaten'!D101*12</f>
        <v>0</v>
      </c>
      <c r="C70" s="20">
        <f>B70*'1 | Eingabe der Objektdaten'!H101</f>
        <v>0</v>
      </c>
      <c r="D70" s="17"/>
      <c r="E70" s="20">
        <f>'1 | Eingabe der Objektdaten'!F101</f>
        <v>0</v>
      </c>
      <c r="F70" s="20">
        <f>'1 | Eingabe der Objektdaten'!E101*'1 | Eingabe der Objektdaten'!B101</f>
        <v>0</v>
      </c>
      <c r="G70" s="20">
        <f>'1 | Eingabe der Objektdaten'!G101*'1 | Eingabe der Objektdaten'!C101</f>
        <v>0</v>
      </c>
      <c r="H70" s="20">
        <f>IF('1 | Eingabe der Objektdaten'!$F$22-60&gt;0,'1 | Eingabe der Objektdaten'!$F$14*'1 | Eingabe der Objektdaten'!$F$13*'3 | Ermittlung des Ertragswerts'!$D$5,0)</f>
        <v>0</v>
      </c>
      <c r="I70" s="51">
        <f t="shared" si="3"/>
        <v>0</v>
      </c>
      <c r="J70" s="52">
        <f t="shared" si="2"/>
        <v>61</v>
      </c>
      <c r="K70" s="53">
        <f>1/POWER((1+D5),J70)</f>
        <v>0.40324725785207699</v>
      </c>
      <c r="L70" s="51">
        <f t="shared" si="4"/>
        <v>0</v>
      </c>
    </row>
    <row r="71" spans="1:12" ht="13.9" customHeight="1" x14ac:dyDescent="0.2">
      <c r="A71" s="44">
        <f>'1 | Eingabe der Objektdaten'!A102</f>
        <v>62</v>
      </c>
      <c r="B71" s="20">
        <f>'1 | Eingabe der Objektdaten'!C102*'1 | Eingabe der Objektdaten'!D102*12</f>
        <v>0</v>
      </c>
      <c r="C71" s="20">
        <f>B71*'1 | Eingabe der Objektdaten'!H102</f>
        <v>0</v>
      </c>
      <c r="D71" s="17"/>
      <c r="E71" s="20">
        <f>'1 | Eingabe der Objektdaten'!F102</f>
        <v>0</v>
      </c>
      <c r="F71" s="20">
        <f>'1 | Eingabe der Objektdaten'!E102*'1 | Eingabe der Objektdaten'!B102</f>
        <v>0</v>
      </c>
      <c r="G71" s="20">
        <f>'1 | Eingabe der Objektdaten'!G102*'1 | Eingabe der Objektdaten'!C102</f>
        <v>0</v>
      </c>
      <c r="H71" s="20">
        <f>IF('1 | Eingabe der Objektdaten'!$F$22-61&gt;0,'1 | Eingabe der Objektdaten'!$F$14*'1 | Eingabe der Objektdaten'!$F$13*'3 | Ermittlung des Ertragswerts'!$D$5,0)</f>
        <v>0</v>
      </c>
      <c r="I71" s="51">
        <f t="shared" si="3"/>
        <v>0</v>
      </c>
      <c r="J71" s="52">
        <f t="shared" si="2"/>
        <v>62</v>
      </c>
      <c r="K71" s="53">
        <f>1/POWER((1+D5),J71)</f>
        <v>0.39728793877051932</v>
      </c>
      <c r="L71" s="51">
        <f t="shared" si="4"/>
        <v>0</v>
      </c>
    </row>
    <row r="72" spans="1:12" ht="13.9" customHeight="1" x14ac:dyDescent="0.2">
      <c r="A72" s="44">
        <f>'1 | Eingabe der Objektdaten'!A103</f>
        <v>63</v>
      </c>
      <c r="B72" s="20">
        <f>'1 | Eingabe der Objektdaten'!C103*'1 | Eingabe der Objektdaten'!D103*12</f>
        <v>0</v>
      </c>
      <c r="C72" s="20">
        <f>B72*'1 | Eingabe der Objektdaten'!H103</f>
        <v>0</v>
      </c>
      <c r="D72" s="17"/>
      <c r="E72" s="20">
        <f>'1 | Eingabe der Objektdaten'!F103</f>
        <v>0</v>
      </c>
      <c r="F72" s="20">
        <f>'1 | Eingabe der Objektdaten'!E103*'1 | Eingabe der Objektdaten'!B103</f>
        <v>0</v>
      </c>
      <c r="G72" s="20">
        <f>'1 | Eingabe der Objektdaten'!G103*'1 | Eingabe der Objektdaten'!C103</f>
        <v>0</v>
      </c>
      <c r="H72" s="20">
        <f>IF('1 | Eingabe der Objektdaten'!$F$22-62&gt;0,'1 | Eingabe der Objektdaten'!$F$14*'1 | Eingabe der Objektdaten'!$F$13*'3 | Ermittlung des Ertragswerts'!$D$5,0)</f>
        <v>0</v>
      </c>
      <c r="I72" s="51">
        <f t="shared" si="3"/>
        <v>0</v>
      </c>
      <c r="J72" s="52">
        <f t="shared" si="2"/>
        <v>63</v>
      </c>
      <c r="K72" s="53">
        <f>1/POWER((1+D5),J72)</f>
        <v>0.39141668844386146</v>
      </c>
      <c r="L72" s="51">
        <f t="shared" si="4"/>
        <v>0</v>
      </c>
    </row>
    <row r="73" spans="1:12" ht="13.9" customHeight="1" x14ac:dyDescent="0.2">
      <c r="A73" s="44">
        <f>'1 | Eingabe der Objektdaten'!A104</f>
        <v>64</v>
      </c>
      <c r="B73" s="20">
        <f>'1 | Eingabe der Objektdaten'!C104*'1 | Eingabe der Objektdaten'!D104*12</f>
        <v>0</v>
      </c>
      <c r="C73" s="20">
        <f>B73*'1 | Eingabe der Objektdaten'!H104</f>
        <v>0</v>
      </c>
      <c r="D73" s="17"/>
      <c r="E73" s="20">
        <f>'1 | Eingabe der Objektdaten'!F104</f>
        <v>0</v>
      </c>
      <c r="F73" s="20">
        <f>'1 | Eingabe der Objektdaten'!E104*'1 | Eingabe der Objektdaten'!B104</f>
        <v>0</v>
      </c>
      <c r="G73" s="20">
        <f>'1 | Eingabe der Objektdaten'!G104*'1 | Eingabe der Objektdaten'!C104</f>
        <v>0</v>
      </c>
      <c r="H73" s="20">
        <f>IF('1 | Eingabe der Objektdaten'!$F$22-63&gt;0,'1 | Eingabe der Objektdaten'!$F$14*'1 | Eingabe der Objektdaten'!$F$13*'3 | Ermittlung des Ertragswerts'!$D$5,0)</f>
        <v>0</v>
      </c>
      <c r="I73" s="51">
        <f t="shared" si="3"/>
        <v>0</v>
      </c>
      <c r="J73" s="52">
        <f t="shared" si="2"/>
        <v>64</v>
      </c>
      <c r="K73" s="53">
        <f>1/POWER((1+D5),J73)</f>
        <v>0.38563220536341036</v>
      </c>
      <c r="L73" s="51">
        <f t="shared" si="4"/>
        <v>0</v>
      </c>
    </row>
    <row r="74" spans="1:12" ht="13.9" customHeight="1" x14ac:dyDescent="0.2">
      <c r="A74" s="44">
        <f>'1 | Eingabe der Objektdaten'!A105</f>
        <v>65</v>
      </c>
      <c r="B74" s="20">
        <f>'1 | Eingabe der Objektdaten'!C105*'1 | Eingabe der Objektdaten'!D105*12</f>
        <v>0</v>
      </c>
      <c r="C74" s="20">
        <f>B74*'1 | Eingabe der Objektdaten'!H105</f>
        <v>0</v>
      </c>
      <c r="D74" s="17"/>
      <c r="E74" s="20">
        <f>'1 | Eingabe der Objektdaten'!F105</f>
        <v>0</v>
      </c>
      <c r="F74" s="20">
        <f>'1 | Eingabe der Objektdaten'!E105*'1 | Eingabe der Objektdaten'!B105</f>
        <v>0</v>
      </c>
      <c r="G74" s="20">
        <f>'1 | Eingabe der Objektdaten'!G105*'1 | Eingabe der Objektdaten'!C105</f>
        <v>0</v>
      </c>
      <c r="H74" s="20">
        <f>IF('1 | Eingabe der Objektdaten'!$F$22-64&gt;0,'1 | Eingabe der Objektdaten'!$F$14*'1 | Eingabe der Objektdaten'!$F$13*'3 | Ermittlung des Ertragswerts'!$D$5,0)</f>
        <v>0</v>
      </c>
      <c r="I74" s="51">
        <f t="shared" si="3"/>
        <v>0</v>
      </c>
      <c r="J74" s="52">
        <f t="shared" si="2"/>
        <v>65</v>
      </c>
      <c r="K74" s="53">
        <f>1/POWER((1+D5),J74)</f>
        <v>0.37993320725459151</v>
      </c>
      <c r="L74" s="51">
        <f t="shared" si="4"/>
        <v>0</v>
      </c>
    </row>
    <row r="75" spans="1:12" ht="13.9" customHeight="1" x14ac:dyDescent="0.2">
      <c r="A75" s="44">
        <f>'1 | Eingabe der Objektdaten'!A106</f>
        <v>66</v>
      </c>
      <c r="B75" s="20">
        <f>'1 | Eingabe der Objektdaten'!C106*'1 | Eingabe der Objektdaten'!D106*12</f>
        <v>0</v>
      </c>
      <c r="C75" s="20">
        <f>B75*'1 | Eingabe der Objektdaten'!H106</f>
        <v>0</v>
      </c>
      <c r="D75" s="17"/>
      <c r="E75" s="20">
        <f>'1 | Eingabe der Objektdaten'!F106</f>
        <v>0</v>
      </c>
      <c r="F75" s="20">
        <f>'1 | Eingabe der Objektdaten'!E106*'1 | Eingabe der Objektdaten'!B106</f>
        <v>0</v>
      </c>
      <c r="G75" s="20">
        <f>'1 | Eingabe der Objektdaten'!G106*'1 | Eingabe der Objektdaten'!C106</f>
        <v>0</v>
      </c>
      <c r="H75" s="20">
        <f>IF('1 | Eingabe der Objektdaten'!$F$22-65&gt;0,'1 | Eingabe der Objektdaten'!$F$14*'1 | Eingabe der Objektdaten'!$F$13*'3 | Ermittlung des Ertragswerts'!$D$5,0)</f>
        <v>0</v>
      </c>
      <c r="I75" s="51">
        <f t="shared" si="3"/>
        <v>0</v>
      </c>
      <c r="J75" s="52">
        <f t="shared" ref="J75:J89" si="5">J74+1</f>
        <v>66</v>
      </c>
      <c r="K75" s="53">
        <f>1/POWER((1+D5),J75)</f>
        <v>0.37431843079270105</v>
      </c>
      <c r="L75" s="51">
        <f t="shared" si="4"/>
        <v>0</v>
      </c>
    </row>
    <row r="76" spans="1:12" ht="13.9" customHeight="1" x14ac:dyDescent="0.2">
      <c r="A76" s="44">
        <f>'1 | Eingabe der Objektdaten'!A107</f>
        <v>67</v>
      </c>
      <c r="B76" s="20">
        <f>'1 | Eingabe der Objektdaten'!C107*'1 | Eingabe der Objektdaten'!D107*12</f>
        <v>0</v>
      </c>
      <c r="C76" s="20">
        <f>B76*'1 | Eingabe der Objektdaten'!H107</f>
        <v>0</v>
      </c>
      <c r="D76" s="17"/>
      <c r="E76" s="20">
        <f>'1 | Eingabe der Objektdaten'!F107</f>
        <v>0</v>
      </c>
      <c r="F76" s="20">
        <f>'1 | Eingabe der Objektdaten'!E107*'1 | Eingabe der Objektdaten'!B107</f>
        <v>0</v>
      </c>
      <c r="G76" s="20">
        <f>'1 | Eingabe der Objektdaten'!G107*'1 | Eingabe der Objektdaten'!C107</f>
        <v>0</v>
      </c>
      <c r="H76" s="20">
        <f>IF('1 | Eingabe der Objektdaten'!$F$22-66&gt;0,'1 | Eingabe der Objektdaten'!$F$14*'1 | Eingabe der Objektdaten'!$F$13*'3 | Ermittlung des Ertragswerts'!$D$5,0)</f>
        <v>0</v>
      </c>
      <c r="I76" s="51">
        <f t="shared" si="3"/>
        <v>0</v>
      </c>
      <c r="J76" s="52">
        <f t="shared" si="5"/>
        <v>67</v>
      </c>
      <c r="K76" s="53">
        <f>1/POWER((1+D5),J76)</f>
        <v>0.36878663132285822</v>
      </c>
      <c r="L76" s="51">
        <f t="shared" si="4"/>
        <v>0</v>
      </c>
    </row>
    <row r="77" spans="1:12" ht="13.9" customHeight="1" x14ac:dyDescent="0.2">
      <c r="A77" s="44">
        <f>'1 | Eingabe der Objektdaten'!A108</f>
        <v>68</v>
      </c>
      <c r="B77" s="20">
        <f>'1 | Eingabe der Objektdaten'!C108*'1 | Eingabe der Objektdaten'!D108*12</f>
        <v>0</v>
      </c>
      <c r="C77" s="20">
        <f>B77*'1 | Eingabe der Objektdaten'!H108</f>
        <v>0</v>
      </c>
      <c r="D77" s="17"/>
      <c r="E77" s="20">
        <f>'1 | Eingabe der Objektdaten'!F108</f>
        <v>0</v>
      </c>
      <c r="F77" s="20">
        <f>'1 | Eingabe der Objektdaten'!E108*'1 | Eingabe der Objektdaten'!B108</f>
        <v>0</v>
      </c>
      <c r="G77" s="20">
        <f>'1 | Eingabe der Objektdaten'!G108*'1 | Eingabe der Objektdaten'!C108</f>
        <v>0</v>
      </c>
      <c r="H77" s="20">
        <f>IF('1 | Eingabe der Objektdaten'!$F$22-67&gt;0,'1 | Eingabe der Objektdaten'!$F$14*'1 | Eingabe der Objektdaten'!$F$13*'3 | Ermittlung des Ertragswerts'!$D$5,0)</f>
        <v>0</v>
      </c>
      <c r="I77" s="51">
        <f t="shared" si="3"/>
        <v>0</v>
      </c>
      <c r="J77" s="52">
        <f t="shared" si="5"/>
        <v>68</v>
      </c>
      <c r="K77" s="53">
        <f>1/POWER((1+D5),J77)</f>
        <v>0.36333658258409685</v>
      </c>
      <c r="L77" s="51">
        <f t="shared" si="4"/>
        <v>0</v>
      </c>
    </row>
    <row r="78" spans="1:12" ht="13.9" customHeight="1" x14ac:dyDescent="0.2">
      <c r="A78" s="44">
        <f>'1 | Eingabe der Objektdaten'!A109</f>
        <v>69</v>
      </c>
      <c r="B78" s="20">
        <f>'1 | Eingabe der Objektdaten'!C109*'1 | Eingabe der Objektdaten'!D109*12</f>
        <v>0</v>
      </c>
      <c r="C78" s="20">
        <f>B78*'1 | Eingabe der Objektdaten'!H109</f>
        <v>0</v>
      </c>
      <c r="D78" s="17"/>
      <c r="E78" s="20">
        <f>'1 | Eingabe der Objektdaten'!F109</f>
        <v>0</v>
      </c>
      <c r="F78" s="20">
        <f>'1 | Eingabe der Objektdaten'!E109*'1 | Eingabe der Objektdaten'!B109</f>
        <v>0</v>
      </c>
      <c r="G78" s="20">
        <f>'1 | Eingabe der Objektdaten'!G109*'1 | Eingabe der Objektdaten'!C109</f>
        <v>0</v>
      </c>
      <c r="H78" s="20">
        <f>IF('1 | Eingabe der Objektdaten'!$F$22-68&gt;0,'1 | Eingabe der Objektdaten'!$F$14*'1 | Eingabe der Objektdaten'!$F$13*'3 | Ermittlung des Ertragswerts'!$D$5,0)</f>
        <v>0</v>
      </c>
      <c r="I78" s="51">
        <f t="shared" si="3"/>
        <v>0</v>
      </c>
      <c r="J78" s="52">
        <f t="shared" si="5"/>
        <v>69</v>
      </c>
      <c r="K78" s="53">
        <f>1/POWER((1+D5),J78)</f>
        <v>0.35796707643753384</v>
      </c>
      <c r="L78" s="51">
        <f t="shared" si="4"/>
        <v>0</v>
      </c>
    </row>
    <row r="79" spans="1:12" ht="13.9" customHeight="1" x14ac:dyDescent="0.2">
      <c r="A79" s="44">
        <f>'1 | Eingabe der Objektdaten'!A110</f>
        <v>70</v>
      </c>
      <c r="B79" s="20">
        <f>'1 | Eingabe der Objektdaten'!C110*'1 | Eingabe der Objektdaten'!D110*12</f>
        <v>0</v>
      </c>
      <c r="C79" s="20">
        <f>B79*'1 | Eingabe der Objektdaten'!H110</f>
        <v>0</v>
      </c>
      <c r="D79" s="17"/>
      <c r="E79" s="20">
        <f>'1 | Eingabe der Objektdaten'!F110</f>
        <v>0</v>
      </c>
      <c r="F79" s="20">
        <f>'1 | Eingabe der Objektdaten'!E110*'1 | Eingabe der Objektdaten'!B110</f>
        <v>0</v>
      </c>
      <c r="G79" s="20">
        <f>'1 | Eingabe der Objektdaten'!G110*'1 | Eingabe der Objektdaten'!C110</f>
        <v>0</v>
      </c>
      <c r="H79" s="20">
        <f>IF('1 | Eingabe der Objektdaten'!$F$22-69&gt;0,'1 | Eingabe der Objektdaten'!$F$14*'1 | Eingabe der Objektdaten'!$F$13*'3 | Ermittlung des Ertragswerts'!$D$5,0)</f>
        <v>0</v>
      </c>
      <c r="I79" s="51">
        <f t="shared" si="3"/>
        <v>0</v>
      </c>
      <c r="J79" s="52">
        <f t="shared" si="5"/>
        <v>70</v>
      </c>
      <c r="K79" s="53">
        <f>1/POWER((1+D5),J79)</f>
        <v>0.3526769225985556</v>
      </c>
      <c r="L79" s="51">
        <f t="shared" si="4"/>
        <v>0</v>
      </c>
    </row>
    <row r="80" spans="1:12" ht="13.9" customHeight="1" x14ac:dyDescent="0.2">
      <c r="A80" s="44">
        <f>'1 | Eingabe der Objektdaten'!A111</f>
        <v>71</v>
      </c>
      <c r="B80" s="20">
        <f>'1 | Eingabe der Objektdaten'!C111*'1 | Eingabe der Objektdaten'!D111*12</f>
        <v>0</v>
      </c>
      <c r="C80" s="20">
        <f>B80*'1 | Eingabe der Objektdaten'!H111</f>
        <v>0</v>
      </c>
      <c r="D80" s="17"/>
      <c r="E80" s="20">
        <f>'1 | Eingabe der Objektdaten'!F111</f>
        <v>0</v>
      </c>
      <c r="F80" s="20">
        <f>'1 | Eingabe der Objektdaten'!E111*'1 | Eingabe der Objektdaten'!B111</f>
        <v>0</v>
      </c>
      <c r="G80" s="20">
        <f>'1 | Eingabe der Objektdaten'!G111*'1 | Eingabe der Objektdaten'!C111</f>
        <v>0</v>
      </c>
      <c r="H80" s="20">
        <f>IF('1 | Eingabe der Objektdaten'!$F$22-70&gt;0,'1 | Eingabe der Objektdaten'!$F$14*'1 | Eingabe der Objektdaten'!$F$13*'3 | Ermittlung des Ertragswerts'!$D$5,0)</f>
        <v>0</v>
      </c>
      <c r="I80" s="51">
        <f t="shared" si="3"/>
        <v>0</v>
      </c>
      <c r="J80" s="52">
        <f t="shared" si="5"/>
        <v>71</v>
      </c>
      <c r="K80" s="53">
        <f>1/POWER((1+D5),J80)</f>
        <v>0.34746494837296121</v>
      </c>
      <c r="L80" s="51">
        <f t="shared" si="4"/>
        <v>0</v>
      </c>
    </row>
    <row r="81" spans="1:12" ht="13.9" customHeight="1" x14ac:dyDescent="0.2">
      <c r="A81" s="44">
        <f>'1 | Eingabe der Objektdaten'!A112</f>
        <v>72</v>
      </c>
      <c r="B81" s="20">
        <f>'1 | Eingabe der Objektdaten'!C112*'1 | Eingabe der Objektdaten'!D112*12</f>
        <v>0</v>
      </c>
      <c r="C81" s="20">
        <f>B81*'1 | Eingabe der Objektdaten'!H112</f>
        <v>0</v>
      </c>
      <c r="D81" s="17"/>
      <c r="E81" s="20">
        <f>'1 | Eingabe der Objektdaten'!F112</f>
        <v>0</v>
      </c>
      <c r="F81" s="20">
        <f>'1 | Eingabe der Objektdaten'!E112*'1 | Eingabe der Objektdaten'!B112</f>
        <v>0</v>
      </c>
      <c r="G81" s="20">
        <f>'1 | Eingabe der Objektdaten'!G112*'1 | Eingabe der Objektdaten'!C112</f>
        <v>0</v>
      </c>
      <c r="H81" s="20">
        <f>IF('1 | Eingabe der Objektdaten'!$F$22-71&gt;0,'1 | Eingabe der Objektdaten'!$F$14*'1 | Eingabe der Objektdaten'!$F$13*'3 | Ermittlung des Ertragswerts'!$D$5,0)</f>
        <v>0</v>
      </c>
      <c r="I81" s="51">
        <f t="shared" si="3"/>
        <v>0</v>
      </c>
      <c r="J81" s="52">
        <f t="shared" si="5"/>
        <v>72</v>
      </c>
      <c r="K81" s="53">
        <f>1/POWER((1+D5),J81)</f>
        <v>0.34232999839700617</v>
      </c>
      <c r="L81" s="51">
        <f t="shared" si="4"/>
        <v>0</v>
      </c>
    </row>
    <row r="82" spans="1:12" ht="13.9" customHeight="1" x14ac:dyDescent="0.2">
      <c r="A82" s="44">
        <f>'1 | Eingabe der Objektdaten'!A113</f>
        <v>73</v>
      </c>
      <c r="B82" s="20">
        <f>'1 | Eingabe der Objektdaten'!C113*'1 | Eingabe der Objektdaten'!D113*12</f>
        <v>0</v>
      </c>
      <c r="C82" s="20">
        <f>B82*'1 | Eingabe der Objektdaten'!H113</f>
        <v>0</v>
      </c>
      <c r="D82" s="17"/>
      <c r="E82" s="20">
        <f>'1 | Eingabe der Objektdaten'!F113</f>
        <v>0</v>
      </c>
      <c r="F82" s="20">
        <f>'1 | Eingabe der Objektdaten'!E113*'1 | Eingabe der Objektdaten'!B113</f>
        <v>0</v>
      </c>
      <c r="G82" s="20">
        <f>'1 | Eingabe der Objektdaten'!G113*'1 | Eingabe der Objektdaten'!C113</f>
        <v>0</v>
      </c>
      <c r="H82" s="20">
        <f>IF('1 | Eingabe der Objektdaten'!$F$22-72&gt;0,'1 | Eingabe der Objektdaten'!$F$14*'1 | Eingabe der Objektdaten'!$F$13*'3 | Ermittlung des Ertragswerts'!$D$5,0)</f>
        <v>0</v>
      </c>
      <c r="I82" s="51">
        <f t="shared" si="3"/>
        <v>0</v>
      </c>
      <c r="J82" s="52">
        <f t="shared" si="5"/>
        <v>73</v>
      </c>
      <c r="K82" s="53">
        <f>1/POWER((1+D5),J82)</f>
        <v>0.33727093438128691</v>
      </c>
      <c r="L82" s="51">
        <f t="shared" si="4"/>
        <v>0</v>
      </c>
    </row>
    <row r="83" spans="1:12" ht="13.9" customHeight="1" x14ac:dyDescent="0.2">
      <c r="A83" s="44">
        <f>'1 | Eingabe der Objektdaten'!A114</f>
        <v>74</v>
      </c>
      <c r="B83" s="20">
        <f>'1 | Eingabe der Objektdaten'!C114*'1 | Eingabe der Objektdaten'!D114*12</f>
        <v>0</v>
      </c>
      <c r="C83" s="20">
        <f>B83*'1 | Eingabe der Objektdaten'!H114</f>
        <v>0</v>
      </c>
      <c r="D83" s="17"/>
      <c r="E83" s="20">
        <f>'1 | Eingabe der Objektdaten'!F114</f>
        <v>0</v>
      </c>
      <c r="F83" s="20">
        <f>'1 | Eingabe der Objektdaten'!E114*'1 | Eingabe der Objektdaten'!B114</f>
        <v>0</v>
      </c>
      <c r="G83" s="20">
        <f>'1 | Eingabe der Objektdaten'!G114*'1 | Eingabe der Objektdaten'!C114</f>
        <v>0</v>
      </c>
      <c r="H83" s="20">
        <f>IF('1 | Eingabe der Objektdaten'!$F$22-73&gt;0,'1 | Eingabe der Objektdaten'!$F$14*'1 | Eingabe der Objektdaten'!$F$13*'3 | Ermittlung des Ertragswerts'!$D$5,0)</f>
        <v>0</v>
      </c>
      <c r="I83" s="51">
        <f t="shared" si="3"/>
        <v>0</v>
      </c>
      <c r="J83" s="52">
        <f t="shared" si="5"/>
        <v>74</v>
      </c>
      <c r="K83" s="53">
        <f>1/POWER((1+D5),J83)</f>
        <v>0.33228663485841076</v>
      </c>
      <c r="L83" s="51">
        <f t="shared" si="4"/>
        <v>0</v>
      </c>
    </row>
    <row r="84" spans="1:12" ht="13.9" customHeight="1" x14ac:dyDescent="0.2">
      <c r="A84" s="44">
        <f>'1 | Eingabe der Objektdaten'!A115</f>
        <v>75</v>
      </c>
      <c r="B84" s="20">
        <f>'1 | Eingabe der Objektdaten'!C115*'1 | Eingabe der Objektdaten'!D115*12</f>
        <v>0</v>
      </c>
      <c r="C84" s="20">
        <f>B84*'1 | Eingabe der Objektdaten'!H115</f>
        <v>0</v>
      </c>
      <c r="D84" s="17"/>
      <c r="E84" s="20">
        <f>'1 | Eingabe der Objektdaten'!F115</f>
        <v>0</v>
      </c>
      <c r="F84" s="20">
        <f>'1 | Eingabe der Objektdaten'!E115*'1 | Eingabe der Objektdaten'!B115</f>
        <v>0</v>
      </c>
      <c r="G84" s="20">
        <f>'1 | Eingabe der Objektdaten'!G115*'1 | Eingabe der Objektdaten'!C115</f>
        <v>0</v>
      </c>
      <c r="H84" s="20">
        <f>IF('1 | Eingabe der Objektdaten'!$F$22-74&gt;0,'1 | Eingabe der Objektdaten'!$F$14*'1 | Eingabe der Objektdaten'!$F$13*'3 | Ermittlung des Ertragswerts'!$D$5,0)</f>
        <v>0</v>
      </c>
      <c r="I84" s="51">
        <f t="shared" si="3"/>
        <v>0</v>
      </c>
      <c r="J84" s="52">
        <f t="shared" si="5"/>
        <v>75</v>
      </c>
      <c r="K84" s="53">
        <f>1/POWER((1+D5),J84)</f>
        <v>0.3273759949343949</v>
      </c>
      <c r="L84" s="51">
        <f t="shared" si="4"/>
        <v>0</v>
      </c>
    </row>
    <row r="85" spans="1:12" ht="13.9" customHeight="1" x14ac:dyDescent="0.2">
      <c r="A85" s="44">
        <f>'1 | Eingabe der Objektdaten'!A116</f>
        <v>76</v>
      </c>
      <c r="B85" s="20">
        <f>'1 | Eingabe der Objektdaten'!C116*'1 | Eingabe der Objektdaten'!D116*12</f>
        <v>0</v>
      </c>
      <c r="C85" s="20">
        <f>B85*'1 | Eingabe der Objektdaten'!H116</f>
        <v>0</v>
      </c>
      <c r="D85" s="17"/>
      <c r="E85" s="20">
        <f>'1 | Eingabe der Objektdaten'!F116</f>
        <v>0</v>
      </c>
      <c r="F85" s="20">
        <f>'1 | Eingabe der Objektdaten'!E116*'1 | Eingabe der Objektdaten'!B116</f>
        <v>0</v>
      </c>
      <c r="G85" s="20">
        <f>'1 | Eingabe der Objektdaten'!G116*'1 | Eingabe der Objektdaten'!C116</f>
        <v>0</v>
      </c>
      <c r="H85" s="20">
        <f>IF('1 | Eingabe der Objektdaten'!$F$22-75&gt;0,'1 | Eingabe der Objektdaten'!$F$14*'1 | Eingabe der Objektdaten'!$F$13*'3 | Ermittlung des Ertragswerts'!$D$5,0)</f>
        <v>0</v>
      </c>
      <c r="I85" s="51">
        <f t="shared" si="3"/>
        <v>0</v>
      </c>
      <c r="J85" s="52">
        <f t="shared" si="5"/>
        <v>76</v>
      </c>
      <c r="K85" s="53">
        <f>1/POWER((1+D5),J85)</f>
        <v>0.32253792604373893</v>
      </c>
      <c r="L85" s="51">
        <f t="shared" si="4"/>
        <v>0</v>
      </c>
    </row>
    <row r="86" spans="1:12" ht="13.9" customHeight="1" x14ac:dyDescent="0.2">
      <c r="A86" s="44">
        <f>'1 | Eingabe der Objektdaten'!A117</f>
        <v>77</v>
      </c>
      <c r="B86" s="20">
        <f>'1 | Eingabe der Objektdaten'!C117*'1 | Eingabe der Objektdaten'!D117*12</f>
        <v>0</v>
      </c>
      <c r="C86" s="20">
        <f>B86*'1 | Eingabe der Objektdaten'!H117</f>
        <v>0</v>
      </c>
      <c r="D86" s="17"/>
      <c r="E86" s="20">
        <f>'1 | Eingabe der Objektdaten'!F117</f>
        <v>0</v>
      </c>
      <c r="F86" s="20">
        <f>'1 | Eingabe der Objektdaten'!E117*'1 | Eingabe der Objektdaten'!B117</f>
        <v>0</v>
      </c>
      <c r="G86" s="20">
        <f>'1 | Eingabe der Objektdaten'!G117*'1 | Eingabe der Objektdaten'!C117</f>
        <v>0</v>
      </c>
      <c r="H86" s="20">
        <f>IF('1 | Eingabe der Objektdaten'!$F$22-76&gt;0,'1 | Eingabe der Objektdaten'!$F$14*'1 | Eingabe der Objektdaten'!$F$13*'3 | Ermittlung des Ertragswerts'!$D$5,0)</f>
        <v>0</v>
      </c>
      <c r="I86" s="51">
        <f t="shared" si="3"/>
        <v>0</v>
      </c>
      <c r="J86" s="52">
        <f t="shared" si="5"/>
        <v>77</v>
      </c>
      <c r="K86" s="53">
        <f>1/POWER((1+D5),J86)</f>
        <v>0.31777135570811715</v>
      </c>
      <c r="L86" s="51">
        <f t="shared" si="4"/>
        <v>0</v>
      </c>
    </row>
    <row r="87" spans="1:12" ht="13.9" customHeight="1" x14ac:dyDescent="0.2">
      <c r="A87" s="44">
        <f>'1 | Eingabe der Objektdaten'!A118</f>
        <v>78</v>
      </c>
      <c r="B87" s="20">
        <f>'1 | Eingabe der Objektdaten'!C118*'1 | Eingabe der Objektdaten'!D118*12</f>
        <v>0</v>
      </c>
      <c r="C87" s="20">
        <f>B87*'1 | Eingabe der Objektdaten'!H118</f>
        <v>0</v>
      </c>
      <c r="D87" s="17"/>
      <c r="E87" s="20">
        <f>'1 | Eingabe der Objektdaten'!F118</f>
        <v>0</v>
      </c>
      <c r="F87" s="20">
        <f>'1 | Eingabe der Objektdaten'!E118*'1 | Eingabe der Objektdaten'!B118</f>
        <v>0</v>
      </c>
      <c r="G87" s="20">
        <f>'1 | Eingabe der Objektdaten'!G118*'1 | Eingabe der Objektdaten'!C118</f>
        <v>0</v>
      </c>
      <c r="H87" s="20">
        <f>IF('1 | Eingabe der Objektdaten'!$F$22-77&gt;0,'1 | Eingabe der Objektdaten'!$F$14*'1 | Eingabe der Objektdaten'!$F$13*'3 | Ermittlung des Ertragswerts'!$D$5,0)</f>
        <v>0</v>
      </c>
      <c r="I87" s="51">
        <f t="shared" si="3"/>
        <v>0</v>
      </c>
      <c r="J87" s="52">
        <f t="shared" si="5"/>
        <v>78</v>
      </c>
      <c r="K87" s="53">
        <f>1/POWER((1+D5),J87)</f>
        <v>0.31307522729863763</v>
      </c>
      <c r="L87" s="51">
        <f t="shared" si="4"/>
        <v>0</v>
      </c>
    </row>
    <row r="88" spans="1:12" ht="13.9" customHeight="1" x14ac:dyDescent="0.2">
      <c r="A88" s="44">
        <f>'1 | Eingabe der Objektdaten'!A119</f>
        <v>79</v>
      </c>
      <c r="B88" s="20">
        <f>'1 | Eingabe der Objektdaten'!C119*'1 | Eingabe der Objektdaten'!D119*12</f>
        <v>0</v>
      </c>
      <c r="C88" s="20">
        <f>B88*'1 | Eingabe der Objektdaten'!H119</f>
        <v>0</v>
      </c>
      <c r="D88" s="17"/>
      <c r="E88" s="20">
        <f>'1 | Eingabe der Objektdaten'!F119</f>
        <v>0</v>
      </c>
      <c r="F88" s="20">
        <f>'1 | Eingabe der Objektdaten'!E119*'1 | Eingabe der Objektdaten'!B119</f>
        <v>0</v>
      </c>
      <c r="G88" s="20">
        <f>'1 | Eingabe der Objektdaten'!G119*'1 | Eingabe der Objektdaten'!C119</f>
        <v>0</v>
      </c>
      <c r="H88" s="20">
        <f>IF('1 | Eingabe der Objektdaten'!$F$22-78&gt;0,'1 | Eingabe der Objektdaten'!$F$14*'1 | Eingabe der Objektdaten'!$F$13*'3 | Ermittlung des Ertragswerts'!$D$5,0)</f>
        <v>0</v>
      </c>
      <c r="I88" s="51">
        <f t="shared" si="3"/>
        <v>0</v>
      </c>
      <c r="J88" s="52">
        <f t="shared" si="5"/>
        <v>79</v>
      </c>
      <c r="K88" s="53">
        <f>1/POWER((1+D5),J88)</f>
        <v>0.30844849980161348</v>
      </c>
      <c r="L88" s="51">
        <f t="shared" si="4"/>
        <v>0</v>
      </c>
    </row>
    <row r="89" spans="1:12" ht="13.9" customHeight="1" x14ac:dyDescent="0.2">
      <c r="A89" s="44">
        <f>'1 | Eingabe der Objektdaten'!A120</f>
        <v>80</v>
      </c>
      <c r="B89" s="20">
        <f>'1 | Eingabe der Objektdaten'!C120*'1 | Eingabe der Objektdaten'!D120*12</f>
        <v>0</v>
      </c>
      <c r="C89" s="20">
        <f>B89*'1 | Eingabe der Objektdaten'!H120</f>
        <v>0</v>
      </c>
      <c r="D89" s="17"/>
      <c r="E89" s="20">
        <f>'1 | Eingabe der Objektdaten'!F120</f>
        <v>0</v>
      </c>
      <c r="F89" s="20">
        <f>'1 | Eingabe der Objektdaten'!E120*'1 | Eingabe der Objektdaten'!B120</f>
        <v>0</v>
      </c>
      <c r="G89" s="20">
        <f>'1 | Eingabe der Objektdaten'!G120*'1 | Eingabe der Objektdaten'!C120</f>
        <v>0</v>
      </c>
      <c r="H89" s="20">
        <f>IF('1 | Eingabe der Objektdaten'!$F$22-79&gt;0,'1 | Eingabe der Objektdaten'!$F$14*'1 | Eingabe der Objektdaten'!$F$13*'3 | Ermittlung des Ertragswerts'!$D$5,0)</f>
        <v>0</v>
      </c>
      <c r="I89" s="51">
        <f t="shared" si="3"/>
        <v>0</v>
      </c>
      <c r="J89" s="52">
        <f t="shared" si="5"/>
        <v>80</v>
      </c>
      <c r="K89" s="53">
        <f>1/POWER((1+D5),J89)</f>
        <v>0.30389014758779664</v>
      </c>
      <c r="L89" s="51">
        <f t="shared" si="4"/>
        <v>0</v>
      </c>
    </row>
    <row r="90" spans="1:12" ht="13.9" customHeight="1" x14ac:dyDescent="0.2">
      <c r="A90" s="44" t="s">
        <v>62</v>
      </c>
      <c r="B90" s="54">
        <f t="shared" ref="B90:I90" si="6">SUM(B10:B89)</f>
        <v>853407.36000000022</v>
      </c>
      <c r="C90" s="54">
        <f t="shared" si="6"/>
        <v>355870.8691200001</v>
      </c>
      <c r="D90" s="54">
        <f t="shared" si="6"/>
        <v>0</v>
      </c>
      <c r="E90" s="54">
        <f t="shared" si="6"/>
        <v>45000</v>
      </c>
      <c r="F90" s="54">
        <f t="shared" si="6"/>
        <v>100800</v>
      </c>
      <c r="G90" s="54">
        <f t="shared" si="6"/>
        <v>132048.00000000006</v>
      </c>
      <c r="H90" s="54">
        <f t="shared" si="6"/>
        <v>14611.950000000004</v>
      </c>
      <c r="I90" s="54">
        <f t="shared" si="6"/>
        <v>205076.54088000004</v>
      </c>
      <c r="J90" s="55"/>
      <c r="K90" s="55"/>
      <c r="L90" s="54">
        <f>SUM(L10:L89)</f>
        <v>164169.4994884312</v>
      </c>
    </row>
    <row r="91" spans="1:12" ht="13.9" customHeight="1" x14ac:dyDescent="0.2">
      <c r="K91" s="56"/>
    </row>
    <row r="92" spans="1:12" ht="13.9" customHeight="1" x14ac:dyDescent="0.2">
      <c r="K92" s="56"/>
    </row>
    <row r="93" spans="1:12" ht="13.9" customHeight="1" x14ac:dyDescent="0.2">
      <c r="K93" s="56"/>
    </row>
    <row r="94" spans="1:12" ht="13.9" customHeight="1" x14ac:dyDescent="0.2">
      <c r="K94" s="56"/>
    </row>
    <row r="95" spans="1:12" ht="13.9" customHeight="1" x14ac:dyDescent="0.2">
      <c r="K95" s="56"/>
    </row>
    <row r="96" spans="1:12" ht="13.9" customHeight="1" x14ac:dyDescent="0.2">
      <c r="K96" s="56"/>
    </row>
    <row r="97" spans="11:11" ht="13.9" customHeight="1" x14ac:dyDescent="0.2">
      <c r="K97" s="56"/>
    </row>
    <row r="98" spans="11:11" ht="13.9" customHeight="1" x14ac:dyDescent="0.2">
      <c r="K98" s="56"/>
    </row>
    <row r="99" spans="11:11" ht="13.9" customHeight="1" x14ac:dyDescent="0.2">
      <c r="K99" s="56"/>
    </row>
    <row r="100" spans="11:11" ht="13.9" customHeight="1" x14ac:dyDescent="0.2">
      <c r="K100" s="56"/>
    </row>
    <row r="101" spans="11:11" ht="13.9" customHeight="1" x14ac:dyDescent="0.2">
      <c r="K101" s="56"/>
    </row>
    <row r="102" spans="11:11" ht="13.9" customHeight="1" x14ac:dyDescent="0.2">
      <c r="K102" s="56"/>
    </row>
    <row r="103" spans="11:11" ht="13.9" customHeight="1" x14ac:dyDescent="0.2">
      <c r="K103" s="56"/>
    </row>
    <row r="104" spans="11:11" ht="13.9" customHeight="1" x14ac:dyDescent="0.2">
      <c r="K104" s="56"/>
    </row>
    <row r="105" spans="11:11" ht="13.9" customHeight="1" x14ac:dyDescent="0.2">
      <c r="K105" s="56"/>
    </row>
    <row r="106" spans="11:11" ht="13.9" customHeight="1" x14ac:dyDescent="0.2">
      <c r="K106" s="56"/>
    </row>
    <row r="107" spans="11:11" ht="13.9" customHeight="1" x14ac:dyDescent="0.2">
      <c r="K107" s="56"/>
    </row>
    <row r="108" spans="11:11" ht="13.9" customHeight="1" x14ac:dyDescent="0.2">
      <c r="K108" s="56"/>
    </row>
    <row r="109" spans="11:11" ht="13.9" customHeight="1" x14ac:dyDescent="0.2">
      <c r="K109" s="56"/>
    </row>
    <row r="110" spans="11:11" ht="13.9" customHeight="1" x14ac:dyDescent="0.2">
      <c r="K110" s="56"/>
    </row>
    <row r="111" spans="11:11" ht="13.9" customHeight="1" x14ac:dyDescent="0.2">
      <c r="K111" s="56"/>
    </row>
    <row r="112" spans="11:11" ht="13.9" customHeight="1" x14ac:dyDescent="0.2">
      <c r="K112" s="56"/>
    </row>
    <row r="113" spans="11:11" ht="13.9" customHeight="1" x14ac:dyDescent="0.2">
      <c r="K113" s="56"/>
    </row>
    <row r="114" spans="11:11" ht="13.9" customHeight="1" x14ac:dyDescent="0.2">
      <c r="K114" s="56"/>
    </row>
    <row r="115" spans="11:11" ht="13.9" customHeight="1" x14ac:dyDescent="0.2">
      <c r="K115" s="56"/>
    </row>
    <row r="116" spans="11:11" ht="13.9" customHeight="1" x14ac:dyDescent="0.2">
      <c r="K116" s="56"/>
    </row>
    <row r="117" spans="11:11" ht="13.9" customHeight="1" x14ac:dyDescent="0.2">
      <c r="K117" s="56"/>
    </row>
    <row r="118" spans="11:11" ht="13.9" customHeight="1" x14ac:dyDescent="0.2">
      <c r="K118" s="56"/>
    </row>
    <row r="119" spans="11:11" ht="13.9" customHeight="1" x14ac:dyDescent="0.2">
      <c r="K119" s="56"/>
    </row>
    <row r="120" spans="11:11" ht="13.9" customHeight="1" x14ac:dyDescent="0.2">
      <c r="K120" s="56"/>
    </row>
    <row r="121" spans="11:11" ht="13.9" customHeight="1" x14ac:dyDescent="0.2">
      <c r="K121" s="56"/>
    </row>
    <row r="122" spans="11:11" ht="13.9" customHeight="1" x14ac:dyDescent="0.2">
      <c r="K122" s="56"/>
    </row>
    <row r="123" spans="11:11" ht="13.9" customHeight="1" x14ac:dyDescent="0.2">
      <c r="K123" s="56"/>
    </row>
    <row r="124" spans="11:11" ht="13.9" customHeight="1" x14ac:dyDescent="0.2">
      <c r="K124" s="56"/>
    </row>
    <row r="125" spans="11:11" ht="13.9" customHeight="1" x14ac:dyDescent="0.2">
      <c r="K125" s="56"/>
    </row>
    <row r="126" spans="11:11" ht="13.9" customHeight="1" x14ac:dyDescent="0.2">
      <c r="K126" s="56"/>
    </row>
    <row r="127" spans="11:11" ht="13.9" customHeight="1" x14ac:dyDescent="0.2">
      <c r="K127" s="56"/>
    </row>
    <row r="128" spans="11:11" ht="13.9" customHeight="1" x14ac:dyDescent="0.2">
      <c r="K128" s="56"/>
    </row>
    <row r="129" spans="11:11" ht="13.9" customHeight="1" x14ac:dyDescent="0.2">
      <c r="K129" s="56"/>
    </row>
    <row r="130" spans="11:11" ht="13.9" customHeight="1" x14ac:dyDescent="0.2">
      <c r="K130" s="56"/>
    </row>
    <row r="131" spans="11:11" ht="13.9" customHeight="1" x14ac:dyDescent="0.2">
      <c r="K131" s="56"/>
    </row>
    <row r="132" spans="11:11" ht="13.9" customHeight="1" x14ac:dyDescent="0.2">
      <c r="K132" s="56"/>
    </row>
    <row r="133" spans="11:11" ht="13.9" customHeight="1" x14ac:dyDescent="0.2">
      <c r="K133" s="56"/>
    </row>
    <row r="134" spans="11:11" ht="13.9" customHeight="1" x14ac:dyDescent="0.2">
      <c r="K134" s="56"/>
    </row>
    <row r="135" spans="11:11" ht="13.9" customHeight="1" x14ac:dyDescent="0.2">
      <c r="K135" s="56"/>
    </row>
    <row r="136" spans="11:11" ht="13.9" customHeight="1" x14ac:dyDescent="0.2">
      <c r="K136" s="56"/>
    </row>
    <row r="137" spans="11:11" ht="13.9" customHeight="1" x14ac:dyDescent="0.2">
      <c r="K137" s="56"/>
    </row>
    <row r="138" spans="11:11" ht="13.9" customHeight="1" x14ac:dyDescent="0.2">
      <c r="K138" s="56"/>
    </row>
    <row r="139" spans="11:11" ht="13.9" customHeight="1" x14ac:dyDescent="0.2">
      <c r="K139" s="56"/>
    </row>
    <row r="140" spans="11:11" ht="13.9" customHeight="1" x14ac:dyDescent="0.2">
      <c r="K140" s="56"/>
    </row>
    <row r="141" spans="11:11" ht="13.9" customHeight="1" x14ac:dyDescent="0.2">
      <c r="K141" s="56"/>
    </row>
    <row r="142" spans="11:11" ht="13.9" customHeight="1" x14ac:dyDescent="0.2">
      <c r="K142" s="56"/>
    </row>
    <row r="143" spans="11:11" ht="13.9" customHeight="1" x14ac:dyDescent="0.2">
      <c r="K143" s="56"/>
    </row>
    <row r="144" spans="11:11" ht="13.9" customHeight="1" x14ac:dyDescent="0.2">
      <c r="K144" s="56"/>
    </row>
    <row r="145" spans="11:11" ht="13.9" customHeight="1" x14ac:dyDescent="0.2">
      <c r="K145" s="56"/>
    </row>
    <row r="146" spans="11:11" ht="13.9" customHeight="1" x14ac:dyDescent="0.2">
      <c r="K146" s="56"/>
    </row>
    <row r="147" spans="11:11" ht="13.9" customHeight="1" x14ac:dyDescent="0.2">
      <c r="K147" s="56"/>
    </row>
    <row r="148" spans="11:11" ht="13.9" customHeight="1" x14ac:dyDescent="0.2">
      <c r="K148" s="56"/>
    </row>
    <row r="149" spans="11:11" ht="13.9" customHeight="1" x14ac:dyDescent="0.2">
      <c r="K149" s="56"/>
    </row>
    <row r="150" spans="11:11" ht="13.9" customHeight="1" x14ac:dyDescent="0.2">
      <c r="K150" s="56"/>
    </row>
    <row r="151" spans="11:11" ht="13.9" customHeight="1" x14ac:dyDescent="0.2">
      <c r="K151" s="56"/>
    </row>
    <row r="152" spans="11:11" ht="13.9" customHeight="1" x14ac:dyDescent="0.2">
      <c r="K152" s="56"/>
    </row>
    <row r="153" spans="11:11" ht="13.9" customHeight="1" x14ac:dyDescent="0.2">
      <c r="K153" s="56"/>
    </row>
    <row r="154" spans="11:11" ht="13.9" customHeight="1" x14ac:dyDescent="0.2">
      <c r="K154" s="56"/>
    </row>
    <row r="155" spans="11:11" ht="13.9" customHeight="1" x14ac:dyDescent="0.2">
      <c r="K155" s="56"/>
    </row>
    <row r="156" spans="11:11" ht="13.9" customHeight="1" x14ac:dyDescent="0.2">
      <c r="K156" s="56"/>
    </row>
    <row r="157" spans="11:11" ht="13.9" customHeight="1" x14ac:dyDescent="0.2">
      <c r="K157" s="56"/>
    </row>
    <row r="158" spans="11:11" ht="13.9" customHeight="1" x14ac:dyDescent="0.2">
      <c r="K158" s="56"/>
    </row>
    <row r="159" spans="11:11" ht="13.9" customHeight="1" x14ac:dyDescent="0.2">
      <c r="K159" s="56"/>
    </row>
    <row r="160" spans="11:11" ht="13.9" customHeight="1" x14ac:dyDescent="0.2">
      <c r="K160" s="56"/>
    </row>
    <row r="161" spans="11:11" ht="13.9" customHeight="1" x14ac:dyDescent="0.2">
      <c r="K161" s="56"/>
    </row>
    <row r="162" spans="11:11" ht="13.9" customHeight="1" x14ac:dyDescent="0.2">
      <c r="K162" s="56"/>
    </row>
    <row r="163" spans="11:11" ht="13.9" customHeight="1" x14ac:dyDescent="0.2">
      <c r="K163" s="56"/>
    </row>
    <row r="164" spans="11:11" ht="13.9" customHeight="1" x14ac:dyDescent="0.2">
      <c r="K164" s="56"/>
    </row>
    <row r="165" spans="11:11" ht="13.9" customHeight="1" x14ac:dyDescent="0.2">
      <c r="K165" s="56"/>
    </row>
    <row r="166" spans="11:11" ht="13.9" customHeight="1" x14ac:dyDescent="0.2">
      <c r="K166" s="56"/>
    </row>
    <row r="167" spans="11:11" ht="13.9" customHeight="1" x14ac:dyDescent="0.2">
      <c r="K167" s="56"/>
    </row>
    <row r="168" spans="11:11" ht="13.9" customHeight="1" x14ac:dyDescent="0.2">
      <c r="K168" s="56"/>
    </row>
    <row r="169" spans="11:11" ht="13.9" customHeight="1" x14ac:dyDescent="0.2">
      <c r="K169" s="56"/>
    </row>
    <row r="170" spans="11:11" ht="13.9" customHeight="1" x14ac:dyDescent="0.2">
      <c r="K170" s="56"/>
    </row>
    <row r="171" spans="11:11" ht="13.9" customHeight="1" x14ac:dyDescent="0.2">
      <c r="K171" s="56"/>
    </row>
    <row r="172" spans="11:11" ht="13.9" customHeight="1" x14ac:dyDescent="0.2">
      <c r="K172" s="56"/>
    </row>
    <row r="173" spans="11:11" ht="13.9" customHeight="1" x14ac:dyDescent="0.2">
      <c r="K173" s="56"/>
    </row>
    <row r="174" spans="11:11" ht="13.9" customHeight="1" x14ac:dyDescent="0.2">
      <c r="K174" s="56"/>
    </row>
    <row r="175" spans="11:11" ht="13.9" customHeight="1" x14ac:dyDescent="0.2">
      <c r="K175" s="56"/>
    </row>
    <row r="176" spans="11:11" ht="13.9" customHeight="1" x14ac:dyDescent="0.2">
      <c r="K176" s="56"/>
    </row>
    <row r="177" spans="11:11" ht="13.9" customHeight="1" x14ac:dyDescent="0.2">
      <c r="K177" s="56"/>
    </row>
    <row r="178" spans="11:11" ht="13.9" customHeight="1" x14ac:dyDescent="0.2">
      <c r="K178" s="56"/>
    </row>
    <row r="179" spans="11:11" ht="13.9" customHeight="1" x14ac:dyDescent="0.2">
      <c r="K179" s="56"/>
    </row>
    <row r="180" spans="11:11" ht="13.9" customHeight="1" x14ac:dyDescent="0.2">
      <c r="K180" s="56"/>
    </row>
    <row r="181" spans="11:11" ht="13.9" customHeight="1" x14ac:dyDescent="0.2">
      <c r="K181" s="56"/>
    </row>
    <row r="182" spans="11:11" ht="13.9" customHeight="1" x14ac:dyDescent="0.2">
      <c r="K182" s="56"/>
    </row>
    <row r="183" spans="11:11" ht="13.9" customHeight="1" x14ac:dyDescent="0.2">
      <c r="K183" s="56"/>
    </row>
    <row r="184" spans="11:11" ht="13.9" customHeight="1" x14ac:dyDescent="0.2">
      <c r="K184" s="56"/>
    </row>
    <row r="185" spans="11:11" ht="13.9" customHeight="1" x14ac:dyDescent="0.2">
      <c r="K185" s="56"/>
    </row>
    <row r="186" spans="11:11" ht="13.9" customHeight="1" x14ac:dyDescent="0.2">
      <c r="K186" s="56"/>
    </row>
    <row r="187" spans="11:11" ht="13.9" customHeight="1" x14ac:dyDescent="0.2">
      <c r="K187" s="56"/>
    </row>
    <row r="188" spans="11:11" ht="13.9" customHeight="1" x14ac:dyDescent="0.2">
      <c r="K188" s="56"/>
    </row>
    <row r="189" spans="11:11" ht="13.9" customHeight="1" x14ac:dyDescent="0.2">
      <c r="K189" s="56"/>
    </row>
    <row r="190" spans="11:11" ht="13.9" customHeight="1" x14ac:dyDescent="0.2">
      <c r="K190" s="56"/>
    </row>
    <row r="191" spans="11:11" ht="13.9" customHeight="1" x14ac:dyDescent="0.2">
      <c r="K191" s="56"/>
    </row>
    <row r="192" spans="11:11" ht="13.9" customHeight="1" x14ac:dyDescent="0.2">
      <c r="K192" s="56"/>
    </row>
    <row r="193" spans="11:11" ht="13.9" customHeight="1" x14ac:dyDescent="0.2">
      <c r="K193" s="56"/>
    </row>
    <row r="194" spans="11:11" ht="13.9" customHeight="1" x14ac:dyDescent="0.2">
      <c r="K194" s="56"/>
    </row>
    <row r="195" spans="11:11" ht="13.9" customHeight="1" x14ac:dyDescent="0.2">
      <c r="K195" s="56"/>
    </row>
    <row r="196" spans="11:11" ht="13.9" customHeight="1" x14ac:dyDescent="0.2">
      <c r="K196" s="56"/>
    </row>
    <row r="197" spans="11:11" ht="13.9" customHeight="1" x14ac:dyDescent="0.2">
      <c r="K197" s="56"/>
    </row>
    <row r="198" spans="11:11" ht="13.9" customHeight="1" x14ac:dyDescent="0.2">
      <c r="K198" s="56"/>
    </row>
    <row r="199" spans="11:11" ht="13.9" customHeight="1" x14ac:dyDescent="0.2">
      <c r="K199" s="56"/>
    </row>
    <row r="200" spans="11:11" ht="13.9" customHeight="1" x14ac:dyDescent="0.2">
      <c r="K200" s="56"/>
    </row>
    <row r="201" spans="11:11" ht="13.9" customHeight="1" x14ac:dyDescent="0.2">
      <c r="K201" s="56"/>
    </row>
    <row r="202" spans="11:11" ht="13.9" customHeight="1" x14ac:dyDescent="0.2">
      <c r="K202" s="56"/>
    </row>
    <row r="203" spans="11:11" ht="13.9" customHeight="1" x14ac:dyDescent="0.2">
      <c r="K203" s="56"/>
    </row>
    <row r="204" spans="11:11" ht="13.9" customHeight="1" x14ac:dyDescent="0.2">
      <c r="K204" s="56"/>
    </row>
    <row r="205" spans="11:11" ht="13.9" customHeight="1" x14ac:dyDescent="0.2">
      <c r="K205" s="56"/>
    </row>
    <row r="206" spans="11:11" ht="13.9" customHeight="1" x14ac:dyDescent="0.2">
      <c r="K206" s="56"/>
    </row>
    <row r="207" spans="11:11" ht="13.9" customHeight="1" x14ac:dyDescent="0.2">
      <c r="K207" s="56"/>
    </row>
    <row r="208" spans="11:11" ht="13.9" customHeight="1" x14ac:dyDescent="0.2">
      <c r="K208" s="56"/>
    </row>
    <row r="209" spans="11:11" ht="13.9" customHeight="1" x14ac:dyDescent="0.2">
      <c r="K209" s="56"/>
    </row>
    <row r="210" spans="11:11" ht="13.9" customHeight="1" x14ac:dyDescent="0.2">
      <c r="K210" s="56"/>
    </row>
    <row r="211" spans="11:11" ht="13.9" customHeight="1" x14ac:dyDescent="0.2">
      <c r="K211" s="56"/>
    </row>
    <row r="212" spans="11:11" ht="13.9" customHeight="1" x14ac:dyDescent="0.2">
      <c r="K212" s="56"/>
    </row>
    <row r="213" spans="11:11" ht="13.9" customHeight="1" x14ac:dyDescent="0.2">
      <c r="K213" s="56"/>
    </row>
    <row r="214" spans="11:11" ht="13.9" customHeight="1" x14ac:dyDescent="0.2">
      <c r="K214" s="56"/>
    </row>
    <row r="215" spans="11:11" ht="13.9" customHeight="1" x14ac:dyDescent="0.2">
      <c r="K215" s="56"/>
    </row>
    <row r="216" spans="11:11" ht="13.9" customHeight="1" x14ac:dyDescent="0.2">
      <c r="K216" s="56"/>
    </row>
    <row r="217" spans="11:11" ht="13.9" customHeight="1" x14ac:dyDescent="0.2">
      <c r="K217" s="56"/>
    </row>
    <row r="218" spans="11:11" ht="13.9" customHeight="1" x14ac:dyDescent="0.2">
      <c r="K218" s="56"/>
    </row>
    <row r="219" spans="11:11" ht="13.9" customHeight="1" x14ac:dyDescent="0.2">
      <c r="K219" s="56"/>
    </row>
    <row r="220" spans="11:11" ht="13.9" customHeight="1" x14ac:dyDescent="0.2">
      <c r="K220" s="56"/>
    </row>
    <row r="221" spans="11:11" ht="13.9" customHeight="1" x14ac:dyDescent="0.2">
      <c r="K221" s="56"/>
    </row>
    <row r="222" spans="11:11" ht="13.9" customHeight="1" x14ac:dyDescent="0.2">
      <c r="K222" s="56"/>
    </row>
    <row r="223" spans="11:11" ht="13.9" customHeight="1" x14ac:dyDescent="0.2">
      <c r="K223" s="56"/>
    </row>
    <row r="224" spans="11:11" ht="13.9" customHeight="1" x14ac:dyDescent="0.2">
      <c r="K224" s="56"/>
    </row>
    <row r="225" spans="11:11" ht="13.9" customHeight="1" x14ac:dyDescent="0.2">
      <c r="K225" s="56"/>
    </row>
    <row r="226" spans="11:11" ht="13.9" customHeight="1" x14ac:dyDescent="0.2">
      <c r="K226" s="56"/>
    </row>
    <row r="227" spans="11:11" ht="13.9" customHeight="1" x14ac:dyDescent="0.2">
      <c r="K227" s="56"/>
    </row>
    <row r="228" spans="11:11" ht="13.9" customHeight="1" x14ac:dyDescent="0.2">
      <c r="K228" s="56"/>
    </row>
    <row r="229" spans="11:11" ht="13.9" customHeight="1" x14ac:dyDescent="0.2">
      <c r="K229" s="56"/>
    </row>
    <row r="230" spans="11:11" ht="13.9" customHeight="1" x14ac:dyDescent="0.2">
      <c r="K230" s="56"/>
    </row>
    <row r="231" spans="11:11" ht="13.9" customHeight="1" x14ac:dyDescent="0.2">
      <c r="K231" s="56"/>
    </row>
    <row r="232" spans="11:11" ht="13.9" customHeight="1" x14ac:dyDescent="0.2">
      <c r="K232" s="56"/>
    </row>
    <row r="233" spans="11:11" ht="13.9" customHeight="1" x14ac:dyDescent="0.2">
      <c r="K233" s="56"/>
    </row>
    <row r="234" spans="11:11" ht="13.9" customHeight="1" x14ac:dyDescent="0.2">
      <c r="K234" s="56"/>
    </row>
    <row r="235" spans="11:11" ht="13.9" customHeight="1" x14ac:dyDescent="0.2">
      <c r="K235" s="56"/>
    </row>
    <row r="236" spans="11:11" ht="13.9" customHeight="1" x14ac:dyDescent="0.2">
      <c r="K236" s="56"/>
    </row>
    <row r="237" spans="11:11" ht="13.9" customHeight="1" x14ac:dyDescent="0.2">
      <c r="K237" s="56"/>
    </row>
    <row r="238" spans="11:11" ht="13.9" customHeight="1" x14ac:dyDescent="0.2">
      <c r="K238" s="56"/>
    </row>
    <row r="239" spans="11:11" ht="13.9" customHeight="1" x14ac:dyDescent="0.2">
      <c r="K239" s="56"/>
    </row>
    <row r="240" spans="11:11" ht="13.9" customHeight="1" x14ac:dyDescent="0.2">
      <c r="K240" s="56"/>
    </row>
    <row r="241" spans="11:11" ht="13.9" customHeight="1" x14ac:dyDescent="0.2">
      <c r="K241" s="56"/>
    </row>
    <row r="242" spans="11:11" ht="13.9" customHeight="1" x14ac:dyDescent="0.2">
      <c r="K242" s="56"/>
    </row>
    <row r="243" spans="11:11" ht="13.9" customHeight="1" x14ac:dyDescent="0.2">
      <c r="K243" s="56"/>
    </row>
    <row r="244" spans="11:11" ht="13.9" customHeight="1" x14ac:dyDescent="0.2">
      <c r="K244" s="56"/>
    </row>
    <row r="245" spans="11:11" ht="13.9" customHeight="1" x14ac:dyDescent="0.2">
      <c r="K245" s="56"/>
    </row>
    <row r="246" spans="11:11" ht="13.9" customHeight="1" x14ac:dyDescent="0.2">
      <c r="K246" s="56"/>
    </row>
    <row r="247" spans="11:11" ht="13.9" customHeight="1" x14ac:dyDescent="0.2">
      <c r="K247" s="56"/>
    </row>
    <row r="248" spans="11:11" ht="13.9" customHeight="1" x14ac:dyDescent="0.2">
      <c r="K248" s="56"/>
    </row>
    <row r="249" spans="11:11" ht="13.9" customHeight="1" x14ac:dyDescent="0.2">
      <c r="K249" s="56"/>
    </row>
    <row r="250" spans="11:11" ht="13.9" customHeight="1" x14ac:dyDescent="0.2">
      <c r="K250" s="56"/>
    </row>
    <row r="251" spans="11:11" ht="13.9" customHeight="1" x14ac:dyDescent="0.2">
      <c r="K251" s="56"/>
    </row>
    <row r="252" spans="11:11" ht="13.9" customHeight="1" x14ac:dyDescent="0.2">
      <c r="K252" s="56"/>
    </row>
    <row r="253" spans="11:11" ht="13.9" customHeight="1" x14ac:dyDescent="0.2">
      <c r="K253" s="56"/>
    </row>
    <row r="254" spans="11:11" ht="13.9" customHeight="1" x14ac:dyDescent="0.2">
      <c r="K254" s="56"/>
    </row>
    <row r="255" spans="11:11" ht="13.9" customHeight="1" x14ac:dyDescent="0.2">
      <c r="K255" s="56"/>
    </row>
    <row r="256" spans="11:11" ht="13.9" customHeight="1" x14ac:dyDescent="0.2">
      <c r="K256" s="56"/>
    </row>
    <row r="257" spans="11:11" ht="13.9" customHeight="1" x14ac:dyDescent="0.2">
      <c r="K257" s="56"/>
    </row>
    <row r="258" spans="11:11" ht="13.9" customHeight="1" x14ac:dyDescent="0.2">
      <c r="K258" s="56"/>
    </row>
    <row r="259" spans="11:11" ht="13.9" customHeight="1" x14ac:dyDescent="0.2">
      <c r="K259" s="56"/>
    </row>
    <row r="260" spans="11:11" ht="13.9" customHeight="1" x14ac:dyDescent="0.2">
      <c r="K260" s="56"/>
    </row>
    <row r="261" spans="11:11" ht="13.9" customHeight="1" x14ac:dyDescent="0.2">
      <c r="K261" s="56"/>
    </row>
    <row r="262" spans="11:11" ht="13.9" customHeight="1" x14ac:dyDescent="0.2">
      <c r="K262" s="56"/>
    </row>
    <row r="263" spans="11:11" ht="13.9" customHeight="1" x14ac:dyDescent="0.2">
      <c r="K263" s="56"/>
    </row>
    <row r="264" spans="11:11" ht="13.9" customHeight="1" x14ac:dyDescent="0.2">
      <c r="K264" s="56"/>
    </row>
    <row r="265" spans="11:11" ht="13.9" customHeight="1" x14ac:dyDescent="0.2">
      <c r="K265" s="56"/>
    </row>
    <row r="266" spans="11:11" ht="13.9" customHeight="1" x14ac:dyDescent="0.2">
      <c r="K266" s="56"/>
    </row>
    <row r="267" spans="11:11" ht="13.9" customHeight="1" x14ac:dyDescent="0.2">
      <c r="K267" s="56"/>
    </row>
    <row r="268" spans="11:11" ht="13.9" customHeight="1" x14ac:dyDescent="0.2">
      <c r="K268" s="56"/>
    </row>
    <row r="269" spans="11:11" ht="13.9" customHeight="1" x14ac:dyDescent="0.2">
      <c r="K269" s="56"/>
    </row>
    <row r="270" spans="11:11" ht="13.9" customHeight="1" x14ac:dyDescent="0.2">
      <c r="K270" s="56"/>
    </row>
    <row r="271" spans="11:11" ht="13.9" customHeight="1" x14ac:dyDescent="0.2">
      <c r="K271" s="56"/>
    </row>
    <row r="272" spans="11:11" ht="13.9" customHeight="1" x14ac:dyDescent="0.2">
      <c r="K272" s="56"/>
    </row>
    <row r="273" spans="11:11" ht="13.9" customHeight="1" x14ac:dyDescent="0.2">
      <c r="K273" s="56"/>
    </row>
    <row r="274" spans="11:11" ht="13.9" customHeight="1" x14ac:dyDescent="0.2">
      <c r="K274" s="56"/>
    </row>
    <row r="275" spans="11:11" ht="13.9" customHeight="1" x14ac:dyDescent="0.2">
      <c r="K275" s="56"/>
    </row>
    <row r="276" spans="11:11" ht="13.9" customHeight="1" x14ac:dyDescent="0.2">
      <c r="K276" s="56"/>
    </row>
    <row r="277" spans="11:11" ht="13.9" customHeight="1" x14ac:dyDescent="0.2">
      <c r="K277" s="56"/>
    </row>
    <row r="278" spans="11:11" ht="13.9" customHeight="1" x14ac:dyDescent="0.2">
      <c r="K278" s="56"/>
    </row>
    <row r="279" spans="11:11" ht="13.9" customHeight="1" x14ac:dyDescent="0.2">
      <c r="K279" s="56"/>
    </row>
    <row r="280" spans="11:11" ht="13.9" customHeight="1" x14ac:dyDescent="0.2">
      <c r="K280" s="56"/>
    </row>
    <row r="281" spans="11:11" ht="13.9" customHeight="1" x14ac:dyDescent="0.2">
      <c r="K281" s="56"/>
    </row>
    <row r="282" spans="11:11" ht="13.9" customHeight="1" x14ac:dyDescent="0.2">
      <c r="K282" s="56"/>
    </row>
    <row r="283" spans="11:11" ht="13.9" customHeight="1" x14ac:dyDescent="0.2">
      <c r="K283" s="56"/>
    </row>
    <row r="284" spans="11:11" ht="13.9" customHeight="1" x14ac:dyDescent="0.2">
      <c r="K284" s="56"/>
    </row>
    <row r="285" spans="11:11" ht="13.9" customHeight="1" x14ac:dyDescent="0.2">
      <c r="K285" s="56"/>
    </row>
    <row r="286" spans="11:11" ht="13.9" customHeight="1" x14ac:dyDescent="0.2">
      <c r="K286" s="56"/>
    </row>
    <row r="287" spans="11:11" ht="13.9" customHeight="1" x14ac:dyDescent="0.2">
      <c r="K287" s="56"/>
    </row>
    <row r="288" spans="11:11" ht="13.9" customHeight="1" x14ac:dyDescent="0.2">
      <c r="K288" s="56"/>
    </row>
    <row r="289" spans="11:11" ht="13.9" customHeight="1" x14ac:dyDescent="0.2">
      <c r="K289" s="56"/>
    </row>
    <row r="290" spans="11:11" ht="13.9" customHeight="1" x14ac:dyDescent="0.2">
      <c r="K290" s="56"/>
    </row>
    <row r="291" spans="11:11" ht="13.9" customHeight="1" x14ac:dyDescent="0.2">
      <c r="K291" s="56"/>
    </row>
    <row r="292" spans="11:11" ht="13.9" customHeight="1" x14ac:dyDescent="0.2">
      <c r="K292" s="56"/>
    </row>
    <row r="293" spans="11:11" ht="13.9" customHeight="1" x14ac:dyDescent="0.2">
      <c r="K293" s="56"/>
    </row>
    <row r="294" spans="11:11" ht="13.9" customHeight="1" x14ac:dyDescent="0.2">
      <c r="K294" s="56"/>
    </row>
    <row r="295" spans="11:11" ht="13.9" customHeight="1" x14ac:dyDescent="0.2">
      <c r="K295" s="56"/>
    </row>
    <row r="296" spans="11:11" ht="13.9" customHeight="1" x14ac:dyDescent="0.2">
      <c r="K296" s="56"/>
    </row>
    <row r="297" spans="11:11" ht="13.9" customHeight="1" x14ac:dyDescent="0.2">
      <c r="K297" s="56"/>
    </row>
    <row r="298" spans="11:11" ht="13.9" customHeight="1" x14ac:dyDescent="0.2">
      <c r="K298" s="56"/>
    </row>
    <row r="299" spans="11:11" ht="13.9" customHeight="1" x14ac:dyDescent="0.2">
      <c r="K299" s="56"/>
    </row>
    <row r="300" spans="11:11" ht="13.9" customHeight="1" x14ac:dyDescent="0.2">
      <c r="K300" s="56"/>
    </row>
    <row r="301" spans="11:11" ht="13.9" customHeight="1" x14ac:dyDescent="0.2">
      <c r="K301" s="56"/>
    </row>
    <row r="302" spans="11:11" ht="13.9" customHeight="1" x14ac:dyDescent="0.2">
      <c r="K302" s="56"/>
    </row>
    <row r="303" spans="11:11" ht="13.9" customHeight="1" x14ac:dyDescent="0.2">
      <c r="K303" s="56"/>
    </row>
    <row r="304" spans="11:11" ht="13.9" customHeight="1" x14ac:dyDescent="0.2">
      <c r="K304" s="56"/>
    </row>
    <row r="305" spans="11:11" ht="13.9" customHeight="1" x14ac:dyDescent="0.2">
      <c r="K305" s="56"/>
    </row>
    <row r="306" spans="11:11" ht="13.9" customHeight="1" x14ac:dyDescent="0.2">
      <c r="K306" s="56"/>
    </row>
    <row r="307" spans="11:11" ht="13.9" customHeight="1" x14ac:dyDescent="0.2">
      <c r="K307" s="56"/>
    </row>
    <row r="308" spans="11:11" ht="13.9" customHeight="1" x14ac:dyDescent="0.2">
      <c r="K308" s="56"/>
    </row>
    <row r="309" spans="11:11" ht="13.9" customHeight="1" x14ac:dyDescent="0.2">
      <c r="K309" s="56"/>
    </row>
    <row r="310" spans="11:11" ht="13.9" customHeight="1" x14ac:dyDescent="0.2">
      <c r="K310" s="56"/>
    </row>
    <row r="311" spans="11:11" ht="13.9" customHeight="1" x14ac:dyDescent="0.2">
      <c r="K311" s="56"/>
    </row>
    <row r="312" spans="11:11" ht="13.9" customHeight="1" x14ac:dyDescent="0.2">
      <c r="K312" s="56"/>
    </row>
    <row r="313" spans="11:11" ht="13.9" customHeight="1" x14ac:dyDescent="0.2">
      <c r="K313" s="56"/>
    </row>
    <row r="314" spans="11:11" ht="13.9" customHeight="1" x14ac:dyDescent="0.2">
      <c r="K314" s="56"/>
    </row>
    <row r="315" spans="11:11" ht="13.9" customHeight="1" x14ac:dyDescent="0.2">
      <c r="K315" s="56"/>
    </row>
    <row r="316" spans="11:11" ht="13.9" customHeight="1" x14ac:dyDescent="0.2">
      <c r="K316" s="56"/>
    </row>
    <row r="317" spans="11:11" ht="13.9" customHeight="1" x14ac:dyDescent="0.2">
      <c r="K317" s="56"/>
    </row>
    <row r="318" spans="11:11" ht="13.9" customHeight="1" x14ac:dyDescent="0.2">
      <c r="K318" s="56"/>
    </row>
    <row r="319" spans="11:11" ht="13.9" customHeight="1" x14ac:dyDescent="0.2">
      <c r="K319" s="56"/>
    </row>
    <row r="320" spans="11:11" ht="13.9" customHeight="1" x14ac:dyDescent="0.2">
      <c r="K320" s="56"/>
    </row>
    <row r="321" spans="11:11" ht="13.9" customHeight="1" x14ac:dyDescent="0.2">
      <c r="K321" s="56"/>
    </row>
    <row r="322" spans="11:11" ht="13.9" customHeight="1" x14ac:dyDescent="0.2">
      <c r="K322" s="56"/>
    </row>
    <row r="323" spans="11:11" ht="13.9" customHeight="1" x14ac:dyDescent="0.2">
      <c r="K323" s="56"/>
    </row>
    <row r="324" spans="11:11" ht="13.9" customHeight="1" x14ac:dyDescent="0.2">
      <c r="K324" s="56"/>
    </row>
    <row r="325" spans="11:11" ht="13.9" customHeight="1" x14ac:dyDescent="0.2">
      <c r="K325" s="56"/>
    </row>
    <row r="326" spans="11:11" ht="13.9" customHeight="1" x14ac:dyDescent="0.2">
      <c r="K326" s="56"/>
    </row>
    <row r="327" spans="11:11" ht="13.9" customHeight="1" x14ac:dyDescent="0.2">
      <c r="K327" s="56"/>
    </row>
    <row r="328" spans="11:11" ht="13.9" customHeight="1" x14ac:dyDescent="0.2">
      <c r="K328" s="56"/>
    </row>
    <row r="329" spans="11:11" ht="13.9" customHeight="1" x14ac:dyDescent="0.2">
      <c r="K329" s="56"/>
    </row>
    <row r="330" spans="11:11" ht="13.9" customHeight="1" x14ac:dyDescent="0.2">
      <c r="K330" s="56"/>
    </row>
    <row r="331" spans="11:11" ht="13.9" customHeight="1" x14ac:dyDescent="0.2">
      <c r="K331" s="56"/>
    </row>
    <row r="332" spans="11:11" ht="13.9" customHeight="1" x14ac:dyDescent="0.2">
      <c r="K332" s="56"/>
    </row>
    <row r="333" spans="11:11" ht="13.9" customHeight="1" x14ac:dyDescent="0.2">
      <c r="K333" s="56"/>
    </row>
    <row r="334" spans="11:11" ht="13.9" customHeight="1" x14ac:dyDescent="0.2">
      <c r="K334" s="56"/>
    </row>
    <row r="335" spans="11:11" ht="13.9" customHeight="1" x14ac:dyDescent="0.2">
      <c r="K335" s="56"/>
    </row>
    <row r="336" spans="11:11" ht="13.9" customHeight="1" x14ac:dyDescent="0.2">
      <c r="K336" s="56"/>
    </row>
    <row r="337" spans="11:11" ht="13.9" customHeight="1" x14ac:dyDescent="0.2">
      <c r="K337" s="56"/>
    </row>
    <row r="338" spans="11:11" ht="13.9" customHeight="1" x14ac:dyDescent="0.2">
      <c r="K338" s="56"/>
    </row>
    <row r="339" spans="11:11" ht="13.9" customHeight="1" x14ac:dyDescent="0.2">
      <c r="K339" s="56"/>
    </row>
    <row r="340" spans="11:11" ht="13.9" customHeight="1" x14ac:dyDescent="0.2">
      <c r="K340" s="56"/>
    </row>
    <row r="341" spans="11:11" ht="13.9" customHeight="1" x14ac:dyDescent="0.2">
      <c r="K341" s="56"/>
    </row>
    <row r="342" spans="11:11" ht="13.9" customHeight="1" x14ac:dyDescent="0.2">
      <c r="K342" s="56"/>
    </row>
    <row r="343" spans="11:11" ht="13.9" customHeight="1" x14ac:dyDescent="0.2">
      <c r="K343" s="56"/>
    </row>
    <row r="344" spans="11:11" ht="13.9" customHeight="1" x14ac:dyDescent="0.2">
      <c r="K344" s="56"/>
    </row>
    <row r="345" spans="11:11" ht="13.9" customHeight="1" x14ac:dyDescent="0.2">
      <c r="K345" s="56"/>
    </row>
    <row r="346" spans="11:11" ht="13.9" customHeight="1" x14ac:dyDescent="0.2">
      <c r="K346" s="56"/>
    </row>
    <row r="347" spans="11:11" ht="13.9" customHeight="1" x14ac:dyDescent="0.2">
      <c r="K347" s="56"/>
    </row>
    <row r="348" spans="11:11" ht="13.9" customHeight="1" x14ac:dyDescent="0.2">
      <c r="K348" s="56"/>
    </row>
    <row r="349" spans="11:11" ht="13.9" customHeight="1" x14ac:dyDescent="0.2">
      <c r="K349" s="56"/>
    </row>
    <row r="350" spans="11:11" ht="13.9" customHeight="1" x14ac:dyDescent="0.2">
      <c r="K350" s="56"/>
    </row>
    <row r="351" spans="11:11" ht="13.9" customHeight="1" x14ac:dyDescent="0.2">
      <c r="K351" s="56"/>
    </row>
  </sheetData>
  <sheetProtection algorithmName="SHA-512" hashValue="hziriig4nAiP5REdRagCzLmgW1VB29FlPqrtFvrgUlxaRI24wMt2qwNS2+9IJT25tyhzZOV1+BsuGAMYNfCwYw==" saltValue="y/H6YUGA4YDaR9LsvGqqMg==" spinCount="100000" sheet="1" objects="1" scenarios="1" selectLockedCells="1"/>
  <mergeCells count="15">
    <mergeCell ref="J7:J9"/>
    <mergeCell ref="K7:K9"/>
    <mergeCell ref="L7:L9"/>
    <mergeCell ref="J5:K5"/>
    <mergeCell ref="D1:L1"/>
    <mergeCell ref="D2:L2"/>
    <mergeCell ref="F7:F9"/>
    <mergeCell ref="G7:G9"/>
    <mergeCell ref="H7:H9"/>
    <mergeCell ref="I7:I9"/>
    <mergeCell ref="A7:A9"/>
    <mergeCell ref="B7:B9"/>
    <mergeCell ref="C7:C9"/>
    <mergeCell ref="D7:D9"/>
    <mergeCell ref="E7:E9"/>
  </mergeCells>
  <phoneticPr fontId="0" type="noConversion"/>
  <conditionalFormatting sqref="I10:I90 L10:L90 J5">
    <cfRule type="cellIs" dxfId="20" priority="2" operator="greaterThan">
      <formula>0</formula>
    </cfRule>
  </conditionalFormatting>
  <conditionalFormatting sqref="I10:I90 L10:L90 J5:K5">
    <cfRule type="cellIs" dxfId="19" priority="1" operator="lessThan">
      <formula>0</formula>
    </cfRule>
  </conditionalFormatting>
  <pageMargins left="0.6692913385826772" right="0.15748031496062992" top="1.3779527559055118" bottom="1.2204724409448819" header="0.70866141732283472" footer="0.86614173228346458"/>
  <pageSetup paperSize="9" scale="79" fitToHeight="0" orientation="portrait" r:id="rId1"/>
  <headerFooter alignWithMargins="0">
    <oddHeader>&amp;L&amp;G&amp;C&amp;"-,Standard"Arbeitsblatt 2 - Berechnung des Ertragswerts&amp;R&amp;"-,Standard"&amp;D</oddHeader>
    <oddFooter>&amp;CSeite &amp;P von &amp;N&amp;RVersionsstand: v17.01.11</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0" tint="-4.9989318521683403E-2"/>
    <pageSetUpPr fitToPage="1"/>
  </sheetPr>
  <dimension ref="A1:J66"/>
  <sheetViews>
    <sheetView showGridLines="0" zoomScaleNormal="100" zoomScaleSheetLayoutView="100" workbookViewId="0">
      <selection activeCell="H59" sqref="H59"/>
    </sheetView>
  </sheetViews>
  <sheetFormatPr baseColWidth="10" defaultColWidth="11.5703125" defaultRowHeight="13.9" customHeight="1" x14ac:dyDescent="0.2"/>
  <cols>
    <col min="1" max="1" width="6.28515625" style="62" customWidth="1"/>
    <col min="2" max="2" width="13.28515625" style="59" customWidth="1"/>
    <col min="3" max="3" width="12" style="59" customWidth="1"/>
    <col min="4" max="4" width="11.5703125" style="59"/>
    <col min="5" max="5" width="6.7109375" style="59" customWidth="1"/>
    <col min="6" max="6" width="17.5703125" style="59" customWidth="1"/>
    <col min="7" max="7" width="4.7109375" style="59" customWidth="1"/>
    <col min="8" max="8" width="12" style="59" customWidth="1"/>
    <col min="9" max="9" width="13.7109375" style="59" customWidth="1"/>
    <col min="10" max="16384" width="11.5703125" style="59"/>
  </cols>
  <sheetData>
    <row r="1" spans="1:10" ht="13.9" customHeight="1" x14ac:dyDescent="0.2">
      <c r="A1" s="57" t="s">
        <v>63</v>
      </c>
      <c r="B1" s="58"/>
      <c r="C1" s="58"/>
      <c r="D1" s="58"/>
      <c r="J1" s="29"/>
    </row>
    <row r="2" spans="1:10" ht="13.9" customHeight="1" x14ac:dyDescent="0.2">
      <c r="A2" s="57"/>
      <c r="B2" s="58"/>
      <c r="C2" s="58"/>
      <c r="D2" s="58"/>
      <c r="J2" s="29"/>
    </row>
    <row r="3" spans="1:10" ht="13.9" customHeight="1" x14ac:dyDescent="0.2">
      <c r="A3" s="59"/>
      <c r="B3" s="60" t="str">
        <f>'1 | Eingabe der Objektdaten'!B6</f>
        <v>Eigentümer:</v>
      </c>
      <c r="C3" s="61" t="str">
        <f>'1 | Eingabe der Objektdaten'!C6:H6</f>
        <v xml:space="preserve">WG Muster </v>
      </c>
      <c r="D3" s="61"/>
      <c r="E3" s="22"/>
      <c r="F3" s="22"/>
      <c r="G3" s="22"/>
      <c r="H3" s="22"/>
      <c r="I3" s="22"/>
      <c r="J3" s="29"/>
    </row>
    <row r="4" spans="1:10" ht="13.9" customHeight="1" x14ac:dyDescent="0.2">
      <c r="A4" s="59"/>
      <c r="B4" s="60" t="str">
        <f>'1 | Eingabe der Objektdaten'!B7</f>
        <v>Objekt:</v>
      </c>
      <c r="C4" s="61" t="str">
        <f>'1 | Eingabe der Objektdaten'!C7:H7</f>
        <v xml:space="preserve">Musterweg 15  </v>
      </c>
      <c r="D4" s="61"/>
      <c r="E4" s="22"/>
      <c r="F4" s="22"/>
      <c r="G4" s="22"/>
      <c r="H4" s="22"/>
      <c r="I4" s="22"/>
      <c r="J4" s="29"/>
    </row>
    <row r="5" spans="1:10" ht="13.9" customHeight="1" x14ac:dyDescent="0.2">
      <c r="A5" s="59"/>
      <c r="B5" s="60" t="str">
        <f>'1 | Eingabe der Objektdaten'!B8</f>
        <v>Stichtag:</v>
      </c>
      <c r="C5" s="47">
        <f>'1 | Eingabe der Objektdaten'!C8</f>
        <v>44561</v>
      </c>
      <c r="D5" s="58"/>
      <c r="J5" s="29"/>
    </row>
    <row r="6" spans="1:10" ht="13.9" customHeight="1" x14ac:dyDescent="0.2">
      <c r="A6" s="58"/>
      <c r="B6" s="58"/>
      <c r="C6" s="58"/>
      <c r="D6" s="58"/>
      <c r="J6" s="29"/>
    </row>
    <row r="8" spans="1:10" ht="13.9" customHeight="1" x14ac:dyDescent="0.2">
      <c r="A8" s="57" t="s">
        <v>64</v>
      </c>
      <c r="B8" s="58" t="s">
        <v>65</v>
      </c>
    </row>
    <row r="10" spans="1:10" ht="13.9" customHeight="1" x14ac:dyDescent="0.2">
      <c r="C10" s="60" t="str">
        <f>'1 | Eingabe der Objektdaten'!E13</f>
        <v>Grundstücksgröße:</v>
      </c>
      <c r="D10" s="63">
        <f>'1 | Eingabe der Objektdaten'!F13</f>
        <v>1709</v>
      </c>
      <c r="E10" s="59" t="s">
        <v>21</v>
      </c>
      <c r="H10" s="60" t="str">
        <f>'1 | Eingabe der Objektdaten'!E12</f>
        <v>RBW am Bewertungsstichtag:</v>
      </c>
      <c r="I10" s="63">
        <f>'1 | Eingabe der Objektdaten'!F12</f>
        <v>14284.31</v>
      </c>
      <c r="J10" s="59" t="s">
        <v>18</v>
      </c>
    </row>
    <row r="11" spans="1:10" ht="13.9" customHeight="1" x14ac:dyDescent="0.2">
      <c r="D11" s="64"/>
      <c r="I11" s="64"/>
    </row>
    <row r="12" spans="1:10" ht="13.9" customHeight="1" x14ac:dyDescent="0.2">
      <c r="C12" s="60" t="str">
        <f>'1 | Eingabe der Objektdaten'!E11</f>
        <v>(historische) AK:</v>
      </c>
      <c r="D12" s="63">
        <f>'1 | Eingabe der Objektdaten'!F11</f>
        <v>14284.31</v>
      </c>
      <c r="E12" s="59" t="s">
        <v>18</v>
      </c>
      <c r="H12" s="60" t="str">
        <f>'1 | Eingabe der Objektdaten'!E14</f>
        <v>Aktueller Bodenrichtwert (lt. BORIS-TH):</v>
      </c>
      <c r="I12" s="63">
        <f>'1 | Eingabe der Objektdaten'!F14</f>
        <v>19</v>
      </c>
      <c r="J12" s="1" t="s">
        <v>23</v>
      </c>
    </row>
    <row r="13" spans="1:10" ht="13.9" customHeight="1" x14ac:dyDescent="0.25">
      <c r="D13" s="64"/>
      <c r="J13" s="65"/>
    </row>
    <row r="14" spans="1:10" ht="13.9" customHeight="1" x14ac:dyDescent="0.2">
      <c r="A14" s="57"/>
      <c r="G14" s="66" t="s">
        <v>66</v>
      </c>
      <c r="H14" s="67">
        <f>D10*I12</f>
        <v>32471</v>
      </c>
      <c r="I14" s="58" t="s">
        <v>18</v>
      </c>
    </row>
    <row r="15" spans="1:10" ht="13.9" customHeight="1" x14ac:dyDescent="0.2">
      <c r="A15" s="57"/>
      <c r="B15" s="58"/>
      <c r="D15" s="68"/>
      <c r="G15" s="60" t="s">
        <v>67</v>
      </c>
      <c r="H15" s="63">
        <f>H14-I10</f>
        <v>18186.690000000002</v>
      </c>
      <c r="I15" s="59" t="s">
        <v>18</v>
      </c>
    </row>
    <row r="16" spans="1:10" ht="13.9" customHeight="1" x14ac:dyDescent="0.2">
      <c r="A16" s="57"/>
      <c r="D16" s="68"/>
      <c r="G16" s="66" t="s">
        <v>68</v>
      </c>
      <c r="H16" s="137" t="str">
        <f>IF(H15&gt;=0,"kein Abschreibungsbedarf","Abschreibungsbedarf prüfen")</f>
        <v>kein Abschreibungsbedarf</v>
      </c>
      <c r="I16" s="137"/>
    </row>
    <row r="17" spans="1:10" ht="13.9" customHeight="1" x14ac:dyDescent="0.25">
      <c r="A17" s="57"/>
      <c r="D17" s="64"/>
      <c r="J17" s="65"/>
    </row>
    <row r="18" spans="1:10" ht="13.9" customHeight="1" x14ac:dyDescent="0.25">
      <c r="A18" s="57"/>
      <c r="D18" s="64"/>
      <c r="I18" s="65"/>
    </row>
    <row r="19" spans="1:10" ht="13.9" customHeight="1" x14ac:dyDescent="0.2">
      <c r="A19" s="57" t="s">
        <v>69</v>
      </c>
      <c r="B19" s="58" t="s">
        <v>70</v>
      </c>
      <c r="D19" s="64"/>
    </row>
    <row r="20" spans="1:10" ht="13.9" customHeight="1" x14ac:dyDescent="0.2">
      <c r="A20" s="57"/>
      <c r="D20" s="64"/>
    </row>
    <row r="21" spans="1:10" ht="13.9" customHeight="1" x14ac:dyDescent="0.2">
      <c r="A21" s="57"/>
      <c r="C21" s="60" t="str">
        <f>'1 | Eingabe der Objektdaten'!E20</f>
        <v>Anschaffungsjahr:</v>
      </c>
      <c r="D21" s="21">
        <f>'1 | Eingabe der Objektdaten'!F20</f>
        <v>1990</v>
      </c>
      <c r="H21" s="60" t="str">
        <f>'1 | Eingabe der Objektdaten'!E16</f>
        <v>(historische) AHK:</v>
      </c>
      <c r="I21" s="63">
        <f>'1 | Eingabe der Objektdaten'!F16</f>
        <v>141041.91</v>
      </c>
      <c r="J21" s="59" t="s">
        <v>18</v>
      </c>
    </row>
    <row r="22" spans="1:10" ht="13.9" customHeight="1" x14ac:dyDescent="0.2">
      <c r="A22" s="57"/>
      <c r="D22" s="69"/>
      <c r="H22" s="60"/>
    </row>
    <row r="23" spans="1:10" ht="13.9" customHeight="1" x14ac:dyDescent="0.2">
      <c r="A23" s="57"/>
      <c r="C23" s="60" t="str">
        <f>'1 | Eingabe der Objektdaten'!E21</f>
        <v>Nutzungsdauer:</v>
      </c>
      <c r="D23" s="21">
        <f>'1 | Eingabe der Objektdaten'!F21</f>
        <v>60</v>
      </c>
      <c r="E23" s="59" t="s">
        <v>31</v>
      </c>
      <c r="H23" s="60" t="s">
        <v>71</v>
      </c>
      <c r="I23" s="22">
        <f>'1 | Eingabe der Objektdaten'!A41</f>
        <v>1</v>
      </c>
    </row>
    <row r="24" spans="1:10" ht="13.9" customHeight="1" x14ac:dyDescent="0.2">
      <c r="A24" s="57"/>
      <c r="D24" s="64"/>
      <c r="H24" s="60"/>
    </row>
    <row r="25" spans="1:10" ht="13.9" customHeight="1" x14ac:dyDescent="0.2">
      <c r="A25" s="57"/>
      <c r="C25" s="60" t="s">
        <v>72</v>
      </c>
      <c r="D25" s="63">
        <f>'1 | Eingabe der Objektdaten'!C41</f>
        <v>628.79999999999995</v>
      </c>
      <c r="E25" s="59" t="s">
        <v>21</v>
      </c>
      <c r="H25" s="60" t="s">
        <v>73</v>
      </c>
      <c r="I25" s="22">
        <f>'1 | Eingabe der Objektdaten'!B41</f>
        <v>12</v>
      </c>
    </row>
    <row r="26" spans="1:10" ht="13.9" customHeight="1" x14ac:dyDescent="0.2">
      <c r="A26" s="57"/>
      <c r="D26" s="64"/>
    </row>
    <row r="27" spans="1:10" ht="13.9" customHeight="1" x14ac:dyDescent="0.2">
      <c r="A27" s="59"/>
      <c r="B27" s="148" t="str">
        <f>IF(YEAR('1 | Eingabe der Objektdaten'!C8)='1 | Eingabe der Objektdaten'!F20,"Betrachtung erfolgt im Jahr der Anschaffung, daher entspricht der Sachwert den AHK; keine weiteren Berechnungen","Betrachtung erfolgt nicht im Jahr der Anschaffung, Ermittlung des Sachwerts siehe folgende Berechnungen:")</f>
        <v>Betrachtung erfolgt nicht im Jahr der Anschaffung, Ermittlung des Sachwerts siehe folgende Berechnungen:</v>
      </c>
      <c r="C27" s="148"/>
      <c r="D27" s="148"/>
      <c r="E27" s="148"/>
      <c r="F27" s="148"/>
      <c r="G27" s="148"/>
      <c r="H27" s="148"/>
      <c r="I27" s="148"/>
    </row>
    <row r="28" spans="1:10" ht="13.9" customHeight="1" x14ac:dyDescent="0.2">
      <c r="A28" s="57"/>
      <c r="D28" s="64"/>
    </row>
    <row r="29" spans="1:10" ht="13.9" customHeight="1" x14ac:dyDescent="0.2">
      <c r="A29" s="57"/>
      <c r="D29" s="64"/>
    </row>
    <row r="30" spans="1:10" ht="13.9" customHeight="1" x14ac:dyDescent="0.2">
      <c r="A30" s="57" t="s">
        <v>74</v>
      </c>
      <c r="B30" s="58" t="s">
        <v>75</v>
      </c>
      <c r="D30" s="64"/>
    </row>
    <row r="31" spans="1:10" ht="13.9" customHeight="1" x14ac:dyDescent="0.2">
      <c r="A31" s="57"/>
      <c r="D31" s="64"/>
    </row>
    <row r="32" spans="1:10" ht="13.9" customHeight="1" x14ac:dyDescent="0.2">
      <c r="A32" s="57"/>
      <c r="B32" s="22">
        <f>IF(I25&lt;7,G34,(IF(I25&lt;21,G35,G36)))</f>
        <v>765</v>
      </c>
      <c r="C32" s="70" t="s">
        <v>76</v>
      </c>
      <c r="D32" s="24">
        <v>1.9</v>
      </c>
      <c r="E32" s="70" t="s">
        <v>77</v>
      </c>
      <c r="F32" s="63">
        <f>B32*D32</f>
        <v>1453.5</v>
      </c>
      <c r="G32" s="59" t="s">
        <v>23</v>
      </c>
    </row>
    <row r="33" spans="1:8" ht="13.9" customHeight="1" x14ac:dyDescent="0.2">
      <c r="A33" s="57"/>
    </row>
    <row r="34" spans="1:8" ht="13.9" customHeight="1" x14ac:dyDescent="0.2">
      <c r="A34" s="57"/>
      <c r="B34" s="59" t="s">
        <v>78</v>
      </c>
      <c r="F34" s="60" t="s">
        <v>79</v>
      </c>
      <c r="G34" s="59">
        <v>825</v>
      </c>
    </row>
    <row r="35" spans="1:8" ht="13.9" customHeight="1" x14ac:dyDescent="0.2">
      <c r="A35" s="57"/>
      <c r="F35" s="60" t="s">
        <v>80</v>
      </c>
      <c r="G35" s="59">
        <v>765</v>
      </c>
    </row>
    <row r="36" spans="1:8" ht="13.9" customHeight="1" x14ac:dyDescent="0.2">
      <c r="A36" s="57"/>
      <c r="F36" s="60" t="s">
        <v>81</v>
      </c>
      <c r="G36" s="59">
        <v>755</v>
      </c>
    </row>
    <row r="37" spans="1:8" ht="13.9" customHeight="1" x14ac:dyDescent="0.2">
      <c r="A37" s="57"/>
    </row>
    <row r="38" spans="1:8" ht="13.9" customHeight="1" x14ac:dyDescent="0.2">
      <c r="A38" s="57"/>
      <c r="B38" s="59" t="s">
        <v>82</v>
      </c>
    </row>
    <row r="39" spans="1:8" ht="13.9" customHeight="1" x14ac:dyDescent="0.2">
      <c r="A39" s="57"/>
      <c r="F39" s="60" t="s">
        <v>83</v>
      </c>
      <c r="G39" s="71">
        <v>1.9</v>
      </c>
    </row>
    <row r="40" spans="1:8" ht="13.9" customHeight="1" x14ac:dyDescent="0.2">
      <c r="A40" s="57"/>
      <c r="F40" s="60" t="s">
        <v>84</v>
      </c>
      <c r="G40" s="71">
        <v>2</v>
      </c>
    </row>
    <row r="41" spans="1:8" ht="13.9" customHeight="1" x14ac:dyDescent="0.2">
      <c r="A41" s="57"/>
      <c r="F41" s="60" t="s">
        <v>85</v>
      </c>
      <c r="G41" s="71">
        <v>1.5</v>
      </c>
    </row>
    <row r="42" spans="1:8" ht="13.9" customHeight="1" x14ac:dyDescent="0.2">
      <c r="A42" s="57"/>
      <c r="H42" s="71"/>
    </row>
    <row r="43" spans="1:8" ht="13.9" customHeight="1" x14ac:dyDescent="0.2">
      <c r="A43" s="57"/>
    </row>
    <row r="44" spans="1:8" ht="13.9" customHeight="1" x14ac:dyDescent="0.2">
      <c r="A44" s="57" t="s">
        <v>86</v>
      </c>
      <c r="B44" s="58" t="s">
        <v>87</v>
      </c>
    </row>
    <row r="45" spans="1:8" ht="13.9" customHeight="1" x14ac:dyDescent="0.2">
      <c r="A45" s="57"/>
    </row>
    <row r="46" spans="1:8" ht="13.9" customHeight="1" x14ac:dyDescent="0.2">
      <c r="A46" s="57"/>
      <c r="B46" s="63">
        <f>F32</f>
        <v>1453.5</v>
      </c>
      <c r="C46" s="70" t="s">
        <v>76</v>
      </c>
      <c r="D46" s="22">
        <v>1.03</v>
      </c>
      <c r="E46" s="70" t="s">
        <v>77</v>
      </c>
      <c r="F46" s="63">
        <f>B46*D46</f>
        <v>1497.105</v>
      </c>
      <c r="G46" s="59" t="s">
        <v>23</v>
      </c>
    </row>
    <row r="47" spans="1:8" ht="13.9" customHeight="1" x14ac:dyDescent="0.2">
      <c r="A47" s="57"/>
    </row>
    <row r="48" spans="1:8" ht="13.9" customHeight="1" x14ac:dyDescent="0.2">
      <c r="A48" s="57"/>
    </row>
    <row r="49" spans="1:10" ht="13.9" customHeight="1" x14ac:dyDescent="0.2">
      <c r="A49" s="57" t="s">
        <v>88</v>
      </c>
      <c r="B49" s="58" t="s">
        <v>89</v>
      </c>
      <c r="C49" s="58"/>
    </row>
    <row r="51" spans="1:10" ht="13.9" customHeight="1" x14ac:dyDescent="0.2">
      <c r="B51" s="139" t="s">
        <v>90</v>
      </c>
      <c r="C51" s="140"/>
      <c r="D51" s="140"/>
      <c r="E51" s="142" t="s">
        <v>77</v>
      </c>
      <c r="F51" s="72">
        <f>F46*'1 | Eingabe der Objektdaten'!F22</f>
        <v>44913.15</v>
      </c>
      <c r="G51" s="143" t="s">
        <v>77</v>
      </c>
      <c r="H51" s="144">
        <f>(F46*'1 | Eingabe der Objektdaten'!F22)/D23</f>
        <v>748.55250000000001</v>
      </c>
      <c r="I51" s="145" t="s">
        <v>91</v>
      </c>
      <c r="J51" s="145"/>
    </row>
    <row r="52" spans="1:10" ht="13.9" customHeight="1" x14ac:dyDescent="0.2">
      <c r="B52" s="141" t="s">
        <v>92</v>
      </c>
      <c r="C52" s="140"/>
      <c r="D52" s="140"/>
      <c r="E52" s="142"/>
      <c r="F52" s="73">
        <f>D23</f>
        <v>60</v>
      </c>
      <c r="G52" s="143"/>
      <c r="H52" s="144"/>
      <c r="I52" s="145"/>
      <c r="J52" s="145"/>
    </row>
    <row r="53" spans="1:10" ht="13.9" customHeight="1" x14ac:dyDescent="0.2">
      <c r="B53" s="74"/>
      <c r="C53" s="45"/>
      <c r="D53" s="45"/>
      <c r="F53" s="45"/>
      <c r="G53" s="45"/>
    </row>
    <row r="55" spans="1:10" ht="13.9" customHeight="1" x14ac:dyDescent="0.2">
      <c r="A55" s="57" t="s">
        <v>93</v>
      </c>
      <c r="B55" s="58" t="s">
        <v>94</v>
      </c>
    </row>
    <row r="57" spans="1:10" ht="13.9" customHeight="1" x14ac:dyDescent="0.2">
      <c r="B57" s="60" t="s">
        <v>95</v>
      </c>
      <c r="C57" s="75">
        <v>2015</v>
      </c>
      <c r="E57" s="70" t="s">
        <v>77</v>
      </c>
      <c r="F57" s="76">
        <v>100</v>
      </c>
    </row>
    <row r="58" spans="1:10" ht="13.9" customHeight="1" x14ac:dyDescent="0.2">
      <c r="C58" s="75"/>
      <c r="E58" s="70"/>
    </row>
    <row r="59" spans="1:10" ht="13.9" customHeight="1" x14ac:dyDescent="0.25">
      <c r="B59" s="60" t="s">
        <v>95</v>
      </c>
      <c r="C59" s="120">
        <v>2020</v>
      </c>
      <c r="D59" s="23" t="s">
        <v>96</v>
      </c>
      <c r="E59" s="70" t="s">
        <v>77</v>
      </c>
      <c r="F59" s="23">
        <v>115.7</v>
      </c>
      <c r="H59" s="118" t="s">
        <v>97</v>
      </c>
      <c r="I59"/>
      <c r="J59" s="65"/>
    </row>
    <row r="60" spans="1:10" ht="13.9" customHeight="1" x14ac:dyDescent="0.2">
      <c r="E60" s="77"/>
    </row>
    <row r="61" spans="1:10" ht="13.9" customHeight="1" x14ac:dyDescent="0.2">
      <c r="C61" s="139" t="s">
        <v>98</v>
      </c>
      <c r="D61" s="139"/>
      <c r="E61" s="146" t="s">
        <v>77</v>
      </c>
      <c r="F61" s="72">
        <f>H51*F59</f>
        <v>86607.524250000002</v>
      </c>
      <c r="G61" s="146" t="s">
        <v>77</v>
      </c>
      <c r="H61" s="147">
        <f>F61/F62</f>
        <v>866.07524250000006</v>
      </c>
      <c r="I61" s="145" t="s">
        <v>91</v>
      </c>
      <c r="J61" s="145"/>
    </row>
    <row r="62" spans="1:10" ht="13.9" customHeight="1" x14ac:dyDescent="0.2">
      <c r="C62" s="141">
        <v>100</v>
      </c>
      <c r="D62" s="141"/>
      <c r="E62" s="146"/>
      <c r="F62" s="78">
        <v>100</v>
      </c>
      <c r="G62" s="146"/>
      <c r="H62" s="147"/>
      <c r="I62" s="145"/>
      <c r="J62" s="145"/>
    </row>
    <row r="65" spans="2:9" ht="13.9" customHeight="1" thickBot="1" x14ac:dyDescent="0.25">
      <c r="B65" s="138" t="s">
        <v>99</v>
      </c>
      <c r="C65" s="138"/>
      <c r="D65" s="138"/>
      <c r="E65" s="70" t="s">
        <v>77</v>
      </c>
      <c r="F65" s="79">
        <f>H61*D25</f>
        <v>544588.11248400004</v>
      </c>
      <c r="G65" s="58" t="s">
        <v>18</v>
      </c>
      <c r="H65" s="70" t="s">
        <v>77</v>
      </c>
      <c r="I65" s="57" t="s">
        <v>100</v>
      </c>
    </row>
    <row r="66" spans="2:9" ht="13.9" customHeight="1" thickTop="1" x14ac:dyDescent="0.2"/>
  </sheetData>
  <sheetProtection password="D388" sheet="1" objects="1" scenarios="1" selectLockedCells="1"/>
  <mergeCells count="15">
    <mergeCell ref="B65:D65"/>
    <mergeCell ref="B51:D51"/>
    <mergeCell ref="B52:D52"/>
    <mergeCell ref="H16:I16"/>
    <mergeCell ref="E51:E52"/>
    <mergeCell ref="G51:G52"/>
    <mergeCell ref="H51:H52"/>
    <mergeCell ref="I51:J52"/>
    <mergeCell ref="C61:D61"/>
    <mergeCell ref="E61:E62"/>
    <mergeCell ref="C62:D62"/>
    <mergeCell ref="G61:G62"/>
    <mergeCell ref="H61:H62"/>
    <mergeCell ref="I61:J62"/>
    <mergeCell ref="B27:I27"/>
  </mergeCells>
  <conditionalFormatting sqref="H15">
    <cfRule type="cellIs" dxfId="18" priority="3" operator="lessThan">
      <formula>0</formula>
    </cfRule>
    <cfRule type="cellIs" dxfId="17" priority="4" operator="greaterThan">
      <formula>0</formula>
    </cfRule>
  </conditionalFormatting>
  <conditionalFormatting sqref="H16">
    <cfRule type="cellIs" dxfId="16" priority="2" operator="equal">
      <formula>"Abschreibungsbedarf prüfen"</formula>
    </cfRule>
  </conditionalFormatting>
  <hyperlinks>
    <hyperlink ref="H59" r:id="rId1"/>
  </hyperlinks>
  <pageMargins left="0.70866141732283472" right="0.70866141732283472" top="0.78740157480314965" bottom="0.78740157480314965" header="0.31496062992125984" footer="0.31496062992125984"/>
  <pageSetup paperSize="9" scale="80" orientation="portrait" r:id="rId2"/>
  <headerFooter alignWithMargins="0">
    <oddHeader>&amp;L&amp;G&amp;C&amp;"-,Standard"Arbeitsblatt 3 - Ermittlung der Sachwerte&amp;R&amp;"-,Standard"&amp;D</oddHeader>
    <oddFooter>&amp;CSeite &amp;P von &amp;N&amp;RVersionsstand: v17.01.11</oddFooter>
  </headerFooter>
  <legacyDrawing r:id="rId3"/>
  <legacyDrawingHF r:id="rId4"/>
  <extLst>
    <ext xmlns:x14="http://schemas.microsoft.com/office/spreadsheetml/2009/9/main" uri="{78C0D931-6437-407d-A8EE-F0AAD7539E65}">
      <x14:conditionalFormattings>
        <x14:conditionalFormatting xmlns:xm="http://schemas.microsoft.com/office/excel/2006/main">
          <x14:cfRule type="expression" priority="1" id="{5EC4DC13-6164-4584-A794-6B347EE8AD54}">
            <xm:f>'1 | Eingabe der Objektdaten'!$D$8='1 | Eingabe der Objektdaten'!$F$20</xm:f>
            <x14:dxf>
              <fill>
                <patternFill patternType="lightGrid"/>
              </fill>
            </x14:dxf>
          </x14:cfRule>
          <xm:sqref>A60:J65 A30:J57 J58:J59 A58:H59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0"/>
    <pageSetUpPr fitToPage="1"/>
  </sheetPr>
  <dimension ref="A1:G63"/>
  <sheetViews>
    <sheetView showGridLines="0" showWhiteSpace="0" topLeftCell="A13" zoomScaleNormal="100" zoomScaleSheetLayoutView="100" workbookViewId="0">
      <selection activeCell="B52" sqref="B52:G60"/>
    </sheetView>
  </sheetViews>
  <sheetFormatPr baseColWidth="10" defaultColWidth="11.5703125" defaultRowHeight="13.9" customHeight="1" x14ac:dyDescent="0.2"/>
  <cols>
    <col min="1" max="1" width="11.5703125" style="1" customWidth="1"/>
    <col min="2" max="7" width="14.7109375" style="1" customWidth="1"/>
    <col min="8" max="8" width="3.7109375" style="1" customWidth="1"/>
    <col min="9" max="16384" width="11.5703125" style="1"/>
  </cols>
  <sheetData>
    <row r="1" spans="1:7" ht="13.9" customHeight="1" x14ac:dyDescent="0.2">
      <c r="A1" s="25" t="s">
        <v>101</v>
      </c>
      <c r="G1" s="80"/>
    </row>
    <row r="3" spans="1:7" ht="13.9" customHeight="1" x14ac:dyDescent="0.2">
      <c r="A3" s="34" t="str">
        <f>'1 | Eingabe der Objektdaten'!B6</f>
        <v>Eigentümer:</v>
      </c>
      <c r="B3" s="150" t="str">
        <f>'1 | Eingabe der Objektdaten'!C6</f>
        <v xml:space="preserve">WG Muster </v>
      </c>
      <c r="C3" s="150"/>
      <c r="D3" s="150"/>
      <c r="E3" s="150"/>
      <c r="F3" s="150"/>
      <c r="G3" s="150"/>
    </row>
    <row r="4" spans="1:7" ht="13.9" customHeight="1" x14ac:dyDescent="0.2">
      <c r="A4" s="34" t="str">
        <f>'1 | Eingabe der Objektdaten'!B7</f>
        <v>Objekt:</v>
      </c>
      <c r="B4" s="137" t="str">
        <f>'1 | Eingabe der Objektdaten'!C7</f>
        <v xml:space="preserve">Musterweg 15  </v>
      </c>
      <c r="C4" s="137"/>
      <c r="D4" s="137"/>
      <c r="E4" s="137"/>
      <c r="F4" s="137"/>
      <c r="G4" s="137"/>
    </row>
    <row r="5" spans="1:7" ht="13.9" customHeight="1" x14ac:dyDescent="0.2">
      <c r="A5" s="34" t="str">
        <f>'1 | Eingabe der Objektdaten'!B8</f>
        <v>Stichtag:</v>
      </c>
      <c r="B5" s="47">
        <f>'1 | Eingabe der Objektdaten'!C8</f>
        <v>44561</v>
      </c>
    </row>
    <row r="6" spans="1:7" ht="13.9" customHeight="1" x14ac:dyDescent="0.2">
      <c r="C6" s="81"/>
    </row>
    <row r="7" spans="1:7" ht="13.9" customHeight="1" x14ac:dyDescent="0.2">
      <c r="C7" s="81"/>
    </row>
    <row r="8" spans="1:7" ht="13.9" customHeight="1" x14ac:dyDescent="0.2">
      <c r="A8" s="25" t="s">
        <v>102</v>
      </c>
      <c r="C8" s="81"/>
    </row>
    <row r="9" spans="1:7" ht="13.9" customHeight="1" thickBot="1" x14ac:dyDescent="0.25">
      <c r="A9" s="25"/>
      <c r="C9" s="81"/>
    </row>
    <row r="10" spans="1:7" ht="13.9" customHeight="1" x14ac:dyDescent="0.2">
      <c r="A10" s="82"/>
      <c r="B10" s="83"/>
      <c r="C10" s="152" t="s">
        <v>65</v>
      </c>
      <c r="D10" s="153"/>
      <c r="E10" s="152" t="s">
        <v>103</v>
      </c>
      <c r="F10" s="153"/>
      <c r="G10" s="84" t="s">
        <v>104</v>
      </c>
    </row>
    <row r="11" spans="1:7" ht="13.9" customHeight="1" x14ac:dyDescent="0.2">
      <c r="A11" s="85"/>
      <c r="B11" s="86"/>
      <c r="C11" s="87" t="s">
        <v>105</v>
      </c>
      <c r="D11" s="88" t="s">
        <v>106</v>
      </c>
      <c r="E11" s="87" t="s">
        <v>105</v>
      </c>
      <c r="F11" s="88" t="s">
        <v>106</v>
      </c>
      <c r="G11" s="89" t="s">
        <v>105</v>
      </c>
    </row>
    <row r="12" spans="1:7" ht="13.9" customHeight="1" x14ac:dyDescent="0.2">
      <c r="A12" s="90" t="s">
        <v>64</v>
      </c>
      <c r="B12" s="45" t="s">
        <v>107</v>
      </c>
      <c r="C12" s="91">
        <f>'4 | Ermittlung der Sachwerte'!H14</f>
        <v>32471</v>
      </c>
      <c r="D12" s="92"/>
      <c r="E12" s="91">
        <f>'3 | Ermittlung des Ertragswerts'!L90</f>
        <v>164169.4994884312</v>
      </c>
      <c r="F12" s="93"/>
      <c r="G12" s="94">
        <f>C12+E12</f>
        <v>196640.4994884312</v>
      </c>
    </row>
    <row r="13" spans="1:7" ht="13.9" customHeight="1" x14ac:dyDescent="0.2">
      <c r="A13" s="85" t="s">
        <v>69</v>
      </c>
      <c r="B13" s="95" t="s">
        <v>108</v>
      </c>
      <c r="C13" s="96">
        <f>'4 | Ermittlung der Sachwerte'!H14</f>
        <v>32471</v>
      </c>
      <c r="D13" s="97">
        <f>(C13/G13)*100</f>
        <v>5.6269798531082573</v>
      </c>
      <c r="E13" s="96">
        <f>IF(YEAR('1 | Eingabe der Objektdaten'!C8)='1 | Eingabe der Objektdaten'!F20,'1 | Eingabe der Objektdaten'!F16,'4 | Ermittlung der Sachwerte'!F65)</f>
        <v>544588.11248400004</v>
      </c>
      <c r="F13" s="98">
        <f>(E13/G13)*100</f>
        <v>94.373020146891733</v>
      </c>
      <c r="G13" s="99">
        <f>C13+E13</f>
        <v>577059.11248400004</v>
      </c>
    </row>
    <row r="14" spans="1:7" ht="13.9" customHeight="1" thickBot="1" x14ac:dyDescent="0.25">
      <c r="A14" s="100" t="s">
        <v>109</v>
      </c>
      <c r="B14" s="101" t="s">
        <v>110</v>
      </c>
      <c r="C14" s="102">
        <f>G12*(D13/100)</f>
        <v>11064.92128926547</v>
      </c>
      <c r="D14" s="103">
        <f>D13</f>
        <v>5.6269798531082573</v>
      </c>
      <c r="E14" s="102">
        <f>G12*(F13/100)</f>
        <v>185575.5781991657</v>
      </c>
      <c r="F14" s="104">
        <f>F13</f>
        <v>94.373020146891733</v>
      </c>
      <c r="G14" s="105">
        <f>C14+E14</f>
        <v>196640.49948843117</v>
      </c>
    </row>
    <row r="15" spans="1:7" ht="13.9" customHeight="1" x14ac:dyDescent="0.2">
      <c r="A15" s="25"/>
      <c r="B15" s="25"/>
      <c r="C15" s="106"/>
      <c r="D15" s="106"/>
      <c r="E15" s="106"/>
      <c r="F15" s="107"/>
      <c r="G15" s="106"/>
    </row>
    <row r="16" spans="1:7" ht="13.9" customHeight="1" x14ac:dyDescent="0.2">
      <c r="A16" s="25"/>
      <c r="B16" s="25"/>
      <c r="C16" s="106"/>
      <c r="D16" s="106"/>
      <c r="E16" s="106"/>
      <c r="F16" s="107"/>
      <c r="G16" s="106"/>
    </row>
    <row r="17" spans="1:7" ht="13.9" customHeight="1" x14ac:dyDescent="0.2">
      <c r="A17" s="151" t="s">
        <v>111</v>
      </c>
      <c r="B17" s="151"/>
      <c r="C17" s="151"/>
      <c r="D17" s="151"/>
      <c r="E17" s="151"/>
      <c r="F17" s="107"/>
      <c r="G17" s="106"/>
    </row>
    <row r="18" spans="1:7" ht="13.9" customHeight="1" x14ac:dyDescent="0.2">
      <c r="A18" s="28" t="s">
        <v>112</v>
      </c>
      <c r="B18" s="108"/>
      <c r="C18" s="108"/>
      <c r="D18" s="108"/>
      <c r="E18" s="108"/>
    </row>
    <row r="19" spans="1:7" ht="13.9" customHeight="1" x14ac:dyDescent="0.2">
      <c r="A19" s="28"/>
      <c r="B19" s="108"/>
      <c r="C19" s="108"/>
      <c r="D19" s="108"/>
      <c r="E19" s="108"/>
    </row>
    <row r="21" spans="1:7" ht="13.9" customHeight="1" x14ac:dyDescent="0.2">
      <c r="A21" s="58" t="s">
        <v>113</v>
      </c>
      <c r="B21" s="58" t="s">
        <v>114</v>
      </c>
      <c r="C21" s="58"/>
      <c r="D21" s="58"/>
      <c r="E21" s="59"/>
      <c r="F21" s="59"/>
      <c r="G21" s="59"/>
    </row>
    <row r="22" spans="1:7" ht="13.9" customHeight="1" x14ac:dyDescent="0.2">
      <c r="A22" s="59"/>
      <c r="B22" s="59"/>
      <c r="C22" s="59"/>
      <c r="D22" s="59"/>
      <c r="E22" s="59"/>
      <c r="F22" s="59"/>
      <c r="G22" s="59"/>
    </row>
    <row r="23" spans="1:7" ht="13.9" customHeight="1" x14ac:dyDescent="0.2">
      <c r="B23" s="59" t="s">
        <v>115</v>
      </c>
      <c r="C23" s="59"/>
      <c r="D23" s="59"/>
      <c r="E23" s="59"/>
      <c r="F23" s="63">
        <f>'1 | Eingabe der Objektdaten'!F17</f>
        <v>50459.4</v>
      </c>
      <c r="G23" s="59" t="s">
        <v>18</v>
      </c>
    </row>
    <row r="24" spans="1:7" ht="13.9" customHeight="1" x14ac:dyDescent="0.2">
      <c r="B24" s="59" t="s">
        <v>116</v>
      </c>
      <c r="C24" s="59"/>
      <c r="D24" s="109" t="str">
        <f>'1 | Eingabe der Objektdaten'!A41&amp;" bis "&amp;'1 | Eingabe der Objektdaten'!A45</f>
        <v>1 bis 5</v>
      </c>
      <c r="E24" s="59"/>
      <c r="F24" s="110">
        <f>'1 | Eingabe der Objektdaten'!F19*5</f>
        <v>11777</v>
      </c>
      <c r="G24" s="59" t="s">
        <v>18</v>
      </c>
    </row>
    <row r="25" spans="1:7" ht="13.9" customHeight="1" thickBot="1" x14ac:dyDescent="0.25">
      <c r="B25" s="58" t="s">
        <v>117</v>
      </c>
      <c r="C25" s="59"/>
      <c r="D25" s="59"/>
      <c r="E25" s="59"/>
      <c r="F25" s="111">
        <f>F23-F24</f>
        <v>38682.400000000001</v>
      </c>
      <c r="G25" s="58" t="s">
        <v>18</v>
      </c>
    </row>
    <row r="26" spans="1:7" ht="13.9" customHeight="1" thickTop="1" x14ac:dyDescent="0.2">
      <c r="B26" s="58"/>
      <c r="C26" s="59"/>
      <c r="D26" s="59"/>
      <c r="E26" s="59"/>
      <c r="F26" s="64"/>
      <c r="G26" s="59"/>
    </row>
    <row r="27" spans="1:7" ht="13.9" customHeight="1" x14ac:dyDescent="0.2">
      <c r="B27" s="59" t="s">
        <v>118</v>
      </c>
      <c r="C27" s="59"/>
      <c r="D27" s="59"/>
      <c r="E27" s="59"/>
      <c r="F27" s="63">
        <f>E14</f>
        <v>185575.5781991657</v>
      </c>
      <c r="G27" s="59" t="s">
        <v>18</v>
      </c>
    </row>
    <row r="28" spans="1:7" ht="13.9" customHeight="1" x14ac:dyDescent="0.2">
      <c r="B28" s="59" t="s">
        <v>119</v>
      </c>
      <c r="C28" s="59"/>
      <c r="D28" s="59"/>
      <c r="E28" s="59"/>
      <c r="F28" s="110">
        <f>F25</f>
        <v>38682.400000000001</v>
      </c>
      <c r="G28" s="59" t="s">
        <v>18</v>
      </c>
    </row>
    <row r="29" spans="1:7" ht="13.9" customHeight="1" thickBot="1" x14ac:dyDescent="0.25">
      <c r="B29" s="137" t="str">
        <f>IF(F29&lt;0,"dauernde Wertminderung gegeben"," keine dauernde Wertminderung")</f>
        <v xml:space="preserve"> keine dauernde Wertminderung</v>
      </c>
      <c r="C29" s="137"/>
      <c r="D29" s="137"/>
      <c r="E29" s="58"/>
      <c r="F29" s="112">
        <f>F27-F28</f>
        <v>146893.1781991657</v>
      </c>
      <c r="G29" s="59" t="s">
        <v>18</v>
      </c>
    </row>
    <row r="30" spans="1:7" ht="13.9" customHeight="1" thickTop="1" x14ac:dyDescent="0.35">
      <c r="B30" s="58"/>
      <c r="C30" s="58"/>
      <c r="D30" s="58"/>
      <c r="E30" s="58"/>
      <c r="F30" s="113"/>
      <c r="G30" s="59"/>
    </row>
    <row r="31" spans="1:7" s="114" customFormat="1" ht="13.9" customHeight="1" x14ac:dyDescent="0.2">
      <c r="B31" s="59" t="s">
        <v>118</v>
      </c>
      <c r="C31" s="59"/>
      <c r="D31" s="59"/>
      <c r="E31" s="59"/>
      <c r="F31" s="63">
        <f>IF(F29&lt;0,E14,0)</f>
        <v>0</v>
      </c>
      <c r="G31" s="59" t="s">
        <v>18</v>
      </c>
    </row>
    <row r="32" spans="1:7" s="114" customFormat="1" ht="13.9" customHeight="1" x14ac:dyDescent="0.2">
      <c r="B32" s="59" t="s">
        <v>120</v>
      </c>
      <c r="C32" s="59"/>
      <c r="D32" s="59"/>
      <c r="E32" s="59"/>
      <c r="F32" s="110">
        <f>IF(F31&gt;0,F23*-1,0)</f>
        <v>0</v>
      </c>
      <c r="G32" s="59" t="s">
        <v>18</v>
      </c>
    </row>
    <row r="33" spans="1:7" s="114" customFormat="1" ht="13.9" customHeight="1" thickBot="1" x14ac:dyDescent="0.25">
      <c r="B33" s="137" t="str">
        <f>IF(F33&lt;0,"außerplanmäßige Abschreibung erforderlich"," außerplanmäßige Abschreibung nicht erforderlich")</f>
        <v xml:space="preserve"> außerplanmäßige Abschreibung nicht erforderlich</v>
      </c>
      <c r="C33" s="137"/>
      <c r="D33" s="137"/>
      <c r="E33" s="58"/>
      <c r="F33" s="115">
        <f>F31+F32</f>
        <v>0</v>
      </c>
      <c r="G33" s="59" t="s">
        <v>18</v>
      </c>
    </row>
    <row r="34" spans="1:7" ht="13.9" customHeight="1" thickTop="1" x14ac:dyDescent="0.35">
      <c r="B34" s="58"/>
      <c r="C34" s="58"/>
      <c r="D34" s="58"/>
      <c r="E34" s="58"/>
      <c r="F34" s="116"/>
      <c r="G34" s="59"/>
    </row>
    <row r="35" spans="1:7" ht="13.9" customHeight="1" x14ac:dyDescent="0.35">
      <c r="B35" s="58"/>
      <c r="C35" s="58"/>
      <c r="D35" s="58"/>
      <c r="E35" s="58"/>
      <c r="F35" s="116"/>
      <c r="G35" s="59"/>
    </row>
    <row r="36" spans="1:7" ht="13.9" customHeight="1" x14ac:dyDescent="0.2">
      <c r="A36" s="58" t="s">
        <v>121</v>
      </c>
      <c r="B36" s="58" t="s">
        <v>122</v>
      </c>
      <c r="C36" s="25"/>
      <c r="D36" s="25"/>
      <c r="E36" s="25"/>
    </row>
    <row r="37" spans="1:7" ht="13.9" customHeight="1" x14ac:dyDescent="0.2">
      <c r="B37" s="59"/>
      <c r="C37" s="59"/>
      <c r="D37" s="59"/>
      <c r="E37" s="59"/>
      <c r="F37" s="59"/>
      <c r="G37" s="59"/>
    </row>
    <row r="38" spans="1:7" ht="13.9" customHeight="1" x14ac:dyDescent="0.2">
      <c r="B38" s="59" t="s">
        <v>115</v>
      </c>
      <c r="C38" s="59"/>
      <c r="D38" s="59"/>
      <c r="E38" s="59"/>
      <c r="F38" s="63">
        <f>'1 | Eingabe der Objektdaten'!F17</f>
        <v>50459.4</v>
      </c>
      <c r="G38" s="59" t="s">
        <v>18</v>
      </c>
    </row>
    <row r="39" spans="1:7" ht="13.9" customHeight="1" x14ac:dyDescent="0.2">
      <c r="B39" s="117" t="s">
        <v>123</v>
      </c>
      <c r="C39" s="59"/>
      <c r="D39" s="109" t="str">
        <f>'1 | Eingabe der Objektdaten'!A41&amp;" bis "&amp;'1 | Eingabe der Objektdaten'!A50</f>
        <v>1 bis 10</v>
      </c>
      <c r="E39" s="59"/>
      <c r="F39" s="110">
        <f>'1 | Eingabe der Objektdaten'!F19*10</f>
        <v>23554</v>
      </c>
      <c r="G39" s="59" t="s">
        <v>18</v>
      </c>
    </row>
    <row r="40" spans="1:7" ht="13.9" customHeight="1" thickBot="1" x14ac:dyDescent="0.25">
      <c r="B40" s="58" t="s">
        <v>124</v>
      </c>
      <c r="C40" s="59"/>
      <c r="D40" s="59"/>
      <c r="E40" s="59"/>
      <c r="F40" s="111">
        <f>F38-F39</f>
        <v>26905.4</v>
      </c>
      <c r="G40" s="58" t="s">
        <v>18</v>
      </c>
    </row>
    <row r="41" spans="1:7" ht="13.9" customHeight="1" thickTop="1" x14ac:dyDescent="0.2">
      <c r="B41" s="58"/>
      <c r="C41" s="59"/>
      <c r="D41" s="59"/>
      <c r="E41" s="59"/>
      <c r="F41" s="64"/>
      <c r="G41" s="59"/>
    </row>
    <row r="42" spans="1:7" ht="13.9" customHeight="1" x14ac:dyDescent="0.2">
      <c r="B42" s="59" t="s">
        <v>118</v>
      </c>
      <c r="C42" s="59"/>
      <c r="D42" s="59"/>
      <c r="E42" s="59"/>
      <c r="F42" s="63">
        <f>E14</f>
        <v>185575.5781991657</v>
      </c>
      <c r="G42" s="59" t="s">
        <v>18</v>
      </c>
    </row>
    <row r="43" spans="1:7" ht="13.9" customHeight="1" x14ac:dyDescent="0.2">
      <c r="B43" s="59" t="s">
        <v>125</v>
      </c>
      <c r="C43" s="59"/>
      <c r="D43" s="59"/>
      <c r="E43" s="59"/>
      <c r="F43" s="110">
        <f>(F40*-1)</f>
        <v>-26905.4</v>
      </c>
      <c r="G43" s="59" t="s">
        <v>18</v>
      </c>
    </row>
    <row r="44" spans="1:7" ht="13.9" customHeight="1" thickBot="1" x14ac:dyDescent="0.25">
      <c r="B44" s="137" t="str">
        <f>IF(F44&lt;0,"dauernde Wertminderung gegeben"," keine dauernde Wertminderung")</f>
        <v xml:space="preserve"> keine dauernde Wertminderung</v>
      </c>
      <c r="C44" s="137"/>
      <c r="D44" s="137"/>
      <c r="E44" s="58"/>
      <c r="F44" s="112">
        <f>F42+F43</f>
        <v>158670.1781991657</v>
      </c>
      <c r="G44" s="59" t="s">
        <v>18</v>
      </c>
    </row>
    <row r="45" spans="1:7" ht="13.9" customHeight="1" thickTop="1" x14ac:dyDescent="0.35">
      <c r="B45" s="58"/>
      <c r="C45" s="58"/>
      <c r="D45" s="58"/>
      <c r="E45" s="58"/>
      <c r="F45" s="113"/>
      <c r="G45" s="59"/>
    </row>
    <row r="46" spans="1:7" ht="13.9" customHeight="1" x14ac:dyDescent="0.2">
      <c r="B46" s="59" t="s">
        <v>118</v>
      </c>
      <c r="C46" s="59"/>
      <c r="D46" s="59"/>
      <c r="E46" s="59"/>
      <c r="F46" s="63">
        <f>IF(F44&lt;0,E14,0)</f>
        <v>0</v>
      </c>
      <c r="G46" s="59" t="s">
        <v>18</v>
      </c>
    </row>
    <row r="47" spans="1:7" ht="13.9" customHeight="1" x14ac:dyDescent="0.2">
      <c r="B47" s="59" t="s">
        <v>120</v>
      </c>
      <c r="C47" s="59"/>
      <c r="D47" s="59"/>
      <c r="E47" s="59"/>
      <c r="F47" s="110">
        <f>IF(F46&gt;0,F38*-1,0)</f>
        <v>0</v>
      </c>
      <c r="G47" s="59" t="s">
        <v>18</v>
      </c>
    </row>
    <row r="48" spans="1:7" ht="13.9" customHeight="1" thickBot="1" x14ac:dyDescent="0.25">
      <c r="B48" s="137" t="str">
        <f>IF(F48&lt;0,"außerplanmäßige Abschreibung erforderlich"," außerplanmäßige Abschreibung nicht erforderlich")</f>
        <v xml:space="preserve"> außerplanmäßige Abschreibung nicht erforderlich</v>
      </c>
      <c r="C48" s="137"/>
      <c r="D48" s="137"/>
      <c r="E48" s="58"/>
      <c r="F48" s="112">
        <f>F46+F47</f>
        <v>0</v>
      </c>
      <c r="G48" s="59" t="s">
        <v>18</v>
      </c>
    </row>
    <row r="49" spans="1:7" ht="13.9" customHeight="1" thickTop="1" x14ac:dyDescent="0.35">
      <c r="A49" s="58"/>
      <c r="B49" s="58"/>
      <c r="C49" s="58"/>
      <c r="D49" s="58"/>
      <c r="E49" s="116"/>
      <c r="F49" s="59"/>
      <c r="G49" s="59"/>
    </row>
    <row r="51" spans="1:7" ht="13.9" customHeight="1" x14ac:dyDescent="0.2">
      <c r="A51" s="42"/>
      <c r="B51" s="58" t="s">
        <v>126</v>
      </c>
    </row>
    <row r="52" spans="1:7" ht="13.9" customHeight="1" x14ac:dyDescent="0.2">
      <c r="A52" s="42"/>
      <c r="B52" s="149"/>
      <c r="C52" s="149"/>
      <c r="D52" s="149"/>
      <c r="E52" s="149"/>
      <c r="F52" s="149"/>
      <c r="G52" s="149"/>
    </row>
    <row r="53" spans="1:7" ht="13.9" customHeight="1" x14ac:dyDescent="0.2">
      <c r="A53" s="42"/>
      <c r="B53" s="149"/>
      <c r="C53" s="149"/>
      <c r="D53" s="149"/>
      <c r="E53" s="149"/>
      <c r="F53" s="149"/>
      <c r="G53" s="149"/>
    </row>
    <row r="54" spans="1:7" ht="13.9" customHeight="1" x14ac:dyDescent="0.2">
      <c r="A54" s="42"/>
      <c r="B54" s="149"/>
      <c r="C54" s="149"/>
      <c r="D54" s="149"/>
      <c r="E54" s="149"/>
      <c r="F54" s="149"/>
      <c r="G54" s="149"/>
    </row>
    <row r="55" spans="1:7" ht="13.9" customHeight="1" x14ac:dyDescent="0.2">
      <c r="A55" s="42"/>
      <c r="B55" s="149"/>
      <c r="C55" s="149"/>
      <c r="D55" s="149"/>
      <c r="E55" s="149"/>
      <c r="F55" s="149"/>
      <c r="G55" s="149"/>
    </row>
    <row r="56" spans="1:7" ht="13.9" customHeight="1" x14ac:dyDescent="0.2">
      <c r="A56" s="42"/>
      <c r="B56" s="149"/>
      <c r="C56" s="149"/>
      <c r="D56" s="149"/>
      <c r="E56" s="149"/>
      <c r="F56" s="149"/>
      <c r="G56" s="149"/>
    </row>
    <row r="57" spans="1:7" ht="13.9" customHeight="1" x14ac:dyDescent="0.2">
      <c r="A57" s="42"/>
      <c r="B57" s="149"/>
      <c r="C57" s="149"/>
      <c r="D57" s="149"/>
      <c r="E57" s="149"/>
      <c r="F57" s="149"/>
      <c r="G57" s="149"/>
    </row>
    <row r="58" spans="1:7" ht="13.9" customHeight="1" x14ac:dyDescent="0.2">
      <c r="A58" s="42"/>
      <c r="B58" s="149"/>
      <c r="C58" s="149"/>
      <c r="D58" s="149"/>
      <c r="E58" s="149"/>
      <c r="F58" s="149"/>
      <c r="G58" s="149"/>
    </row>
    <row r="59" spans="1:7" ht="13.9" customHeight="1" x14ac:dyDescent="0.2">
      <c r="B59" s="149"/>
      <c r="C59" s="149"/>
      <c r="D59" s="149"/>
      <c r="E59" s="149"/>
      <c r="F59" s="149"/>
      <c r="G59" s="149"/>
    </row>
    <row r="60" spans="1:7" ht="13.9" customHeight="1" x14ac:dyDescent="0.2">
      <c r="B60" s="149"/>
      <c r="C60" s="149"/>
      <c r="D60" s="149"/>
      <c r="E60" s="149"/>
      <c r="F60" s="149"/>
      <c r="G60" s="149"/>
    </row>
    <row r="61" spans="1:7" ht="13.9" customHeight="1" x14ac:dyDescent="0.2">
      <c r="B61" s="149"/>
      <c r="C61" s="149"/>
      <c r="D61" s="149"/>
      <c r="E61" s="149"/>
      <c r="F61" s="149"/>
      <c r="G61" s="149"/>
    </row>
    <row r="62" spans="1:7" ht="13.9" customHeight="1" x14ac:dyDescent="0.2">
      <c r="B62" s="149"/>
      <c r="C62" s="149"/>
      <c r="D62" s="149"/>
      <c r="E62" s="149"/>
      <c r="F62" s="149"/>
      <c r="G62" s="149"/>
    </row>
    <row r="63" spans="1:7" ht="13.9" customHeight="1" x14ac:dyDescent="0.2">
      <c r="B63" s="149"/>
      <c r="C63" s="149"/>
      <c r="D63" s="149"/>
      <c r="E63" s="149"/>
      <c r="F63" s="149"/>
      <c r="G63" s="149"/>
    </row>
  </sheetData>
  <sheetProtection password="D388" sheet="1" objects="1" scenarios="1" selectLockedCells="1"/>
  <mergeCells count="21">
    <mergeCell ref="B3:G3"/>
    <mergeCell ref="B4:G4"/>
    <mergeCell ref="A17:E17"/>
    <mergeCell ref="B44:D44"/>
    <mergeCell ref="B52:G52"/>
    <mergeCell ref="B48:D48"/>
    <mergeCell ref="B33:D33"/>
    <mergeCell ref="B29:D29"/>
    <mergeCell ref="C10:D10"/>
    <mergeCell ref="E10:F10"/>
    <mergeCell ref="B53:G53"/>
    <mergeCell ref="B54:G54"/>
    <mergeCell ref="B55:G55"/>
    <mergeCell ref="B56:G56"/>
    <mergeCell ref="B62:G62"/>
    <mergeCell ref="B63:G63"/>
    <mergeCell ref="B57:G57"/>
    <mergeCell ref="B58:G58"/>
    <mergeCell ref="B59:G59"/>
    <mergeCell ref="B60:G60"/>
    <mergeCell ref="B61:G61"/>
  </mergeCells>
  <phoneticPr fontId="0" type="noConversion"/>
  <conditionalFormatting sqref="F29 F44">
    <cfRule type="cellIs" dxfId="14" priority="8" operator="greaterThan">
      <formula>0</formula>
    </cfRule>
    <cfRule type="cellIs" dxfId="13" priority="9" operator="lessThan">
      <formula>0</formula>
    </cfRule>
  </conditionalFormatting>
  <conditionalFormatting sqref="B29:D29 B33:D33">
    <cfRule type="expression" dxfId="12" priority="7">
      <formula>$F$29&gt;0</formula>
    </cfRule>
  </conditionalFormatting>
  <conditionalFormatting sqref="B44:D44 B48:D48">
    <cfRule type="expression" dxfId="11" priority="6">
      <formula>$F$44&gt;0</formula>
    </cfRule>
  </conditionalFormatting>
  <conditionalFormatting sqref="F29 F33 F44 F48">
    <cfRule type="cellIs" dxfId="10" priority="5" operator="lessThan">
      <formula>0</formula>
    </cfRule>
  </conditionalFormatting>
  <conditionalFormatting sqref="B29:D29">
    <cfRule type="expression" dxfId="9" priority="4">
      <formula>$F$29&lt;0</formula>
    </cfRule>
  </conditionalFormatting>
  <conditionalFormatting sqref="B33:D33">
    <cfRule type="expression" dxfId="8" priority="3">
      <formula>$F$33&lt;0</formula>
    </cfRule>
  </conditionalFormatting>
  <conditionalFormatting sqref="B44:D44">
    <cfRule type="expression" dxfId="7" priority="2">
      <formula>$F$44&lt;0</formula>
    </cfRule>
  </conditionalFormatting>
  <conditionalFormatting sqref="B48:D48">
    <cfRule type="expression" dxfId="6" priority="1">
      <formula>$F$48&lt;0</formula>
    </cfRule>
  </conditionalFormatting>
  <pageMargins left="0.78740157480314965" right="0.78740157480314965" top="0.98425196850393704" bottom="0.98425196850393704" header="0.51181102362204722" footer="0.51181102362204722"/>
  <pageSetup paperSize="9" scale="82" orientation="portrait" r:id="rId1"/>
  <headerFooter>
    <oddHeader>&amp;L&amp;G&amp;CArbeitsblatt 4 - Buchungsvorschlag&amp;R&amp;D</oddHeader>
    <oddFooter>&amp;CSeite &amp;P von &amp;N&amp;RVersionsstand: v17.01.11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13" id="{E2E06CC3-A85D-4C47-BE7C-93D5253D4315}">
            <xm:f>'1 | Eingabe der Objektdaten'!$F$22&lt;40</xm:f>
            <x14:dxf>
              <fill>
                <patternFill patternType="lightGrid"/>
              </fill>
            </x14:dxf>
          </x14:cfRule>
          <xm:sqref>B38:G48</xm:sqref>
        </x14:conditionalFormatting>
        <x14:conditionalFormatting xmlns:xm="http://schemas.microsoft.com/office/excel/2006/main">
          <x14:cfRule type="expression" priority="12" id="{A2FDEAE8-5FBB-4658-9161-6C79DFA4338F}">
            <xm:f>'1 | Eingabe der Objektdaten'!$F$22&lt;40</xm:f>
            <x14:dxf>
              <font>
                <strike/>
              </font>
            </x14:dxf>
          </x14:cfRule>
          <xm:sqref>A36:F36</xm:sqref>
        </x14:conditionalFormatting>
        <x14:conditionalFormatting xmlns:xm="http://schemas.microsoft.com/office/excel/2006/main">
          <x14:cfRule type="expression" priority="11" id="{C1353AAC-41E1-4F60-961C-57B23EDF247F}">
            <xm:f>'1 | Eingabe der Objektdaten'!$F$22&gt;=40</xm:f>
            <x14:dxf>
              <fill>
                <patternFill patternType="lightGrid"/>
              </fill>
            </x14:dxf>
          </x14:cfRule>
          <xm:sqref>B23:G33</xm:sqref>
        </x14:conditionalFormatting>
        <x14:conditionalFormatting xmlns:xm="http://schemas.microsoft.com/office/excel/2006/main">
          <x14:cfRule type="expression" priority="10" id="{507DAA0F-6EED-44C5-AA8A-BF79D51038B5}">
            <xm:f>'1 | Eingabe der Objektdaten'!$F$22&gt;=40</xm:f>
            <x14:dxf>
              <font>
                <strike/>
              </font>
            </x14:dxf>
          </x14:cfRule>
          <xm:sqref>A21:F21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9202A4680699E4493106D2AB2558B2E" ma:contentTypeVersion="2" ma:contentTypeDescription="Ein neues Dokument erstellen." ma:contentTypeScope="" ma:versionID="d1632e06fdf204b653a2af185d1d54b1">
  <xsd:schema xmlns:xsd="http://www.w3.org/2001/XMLSchema" xmlns:xs="http://www.w3.org/2001/XMLSchema" xmlns:p="http://schemas.microsoft.com/office/2006/metadata/properties" xmlns:ns2="825a88f8-a79c-4a4b-874f-c1ad73585c30" targetNamespace="http://schemas.microsoft.com/office/2006/metadata/properties" ma:root="true" ma:fieldsID="7262934cdea1f3879285a99c770ceb2a" ns2:_="">
    <xsd:import namespace="825a88f8-a79c-4a4b-874f-c1ad73585c3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5a88f8-a79c-4a4b-874f-c1ad73585c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FE1CEF-F0FC-4F33-B20C-A3522B2C0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5a88f8-a79c-4a4b-874f-c1ad73585c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17786B-366A-4EEA-BEEC-CDF071DF68E2}">
  <ds:schemaRefs>
    <ds:schemaRef ds:uri="http://schemas.microsoft.com/sharepoint/v3/contenttype/forms"/>
  </ds:schemaRefs>
</ds:datastoreItem>
</file>

<file path=customXml/itemProps3.xml><?xml version="1.0" encoding="utf-8"?>
<ds:datastoreItem xmlns:ds="http://schemas.openxmlformats.org/officeDocument/2006/customXml" ds:itemID="{BDA1595E-8742-46B4-8D93-BCC5F396CBA5}">
  <ds:schemaRefs>
    <ds:schemaRef ds:uri="http://purl.org/dc/dcmitype/"/>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terms/"/>
    <ds:schemaRef ds:uri="825a88f8-a79c-4a4b-874f-c1ad73585c30"/>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1 | Eingabe der Objektdaten</vt:lpstr>
      <vt:lpstr>2 | Ermittlung Liegenschatfsz.</vt:lpstr>
      <vt:lpstr>3 | Ermittlung des Ertragswerts</vt:lpstr>
      <vt:lpstr>4 | Ermittlung der Sachwerte</vt:lpstr>
      <vt:lpstr>5 | Buchungsvorschlag</vt:lpstr>
      <vt:lpstr>'1 | Eingabe der Objektdaten'!Druckbereich</vt:lpstr>
      <vt:lpstr>'2 | Ermittlung Liegenschatfsz.'!Druckbereich</vt:lpstr>
      <vt:lpstr>'3 | Ermittlung des Ertragswerts'!Druckbereich</vt:lpstr>
      <vt:lpstr>'5 | Buchungsvorschlag'!Druckbereich</vt:lpstr>
      <vt:lpstr>'1 | Eingabe der Objektdaten'!Drucktitel</vt:lpstr>
      <vt:lpstr>'3 | Ermittlung des Ertragswerts'!Drucktitel</vt:lpstr>
    </vt:vector>
  </TitlesOfParts>
  <Manager/>
  <Company>VTW / DOMUS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Ertragswerttest</dc:title>
  <dc:subject/>
  <dc:creator>Dietmar.Crellwitz@vtw.de;christoph.otto@vtw.de</dc:creator>
  <cp:keywords>Prüfung und Beratung</cp:keywords>
  <dc:description/>
  <cp:lastModifiedBy>Kieling, Klaus</cp:lastModifiedBy>
  <cp:revision/>
  <cp:lastPrinted>2022-01-04T10:43:22Z</cp:lastPrinted>
  <dcterms:created xsi:type="dcterms:W3CDTF">2001-11-30T08:19:50Z</dcterms:created>
  <dcterms:modified xsi:type="dcterms:W3CDTF">2022-01-04T11:54:52Z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0x01010049202A4680699E4493106D2AB2558B2E</vt:lpwstr>
  </property>
</Properties>
</file>